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tabRatio="915" activeTab="5"/>
  </bookViews>
  <sheets>
    <sheet name="2017年一般公共预算收入表" sheetId="1" r:id="rId1"/>
    <sheet name="2017年一般公共预算支出表" sheetId="2" r:id="rId2"/>
    <sheet name="2017年一般公共预算收支平衡表" sheetId="3" r:id="rId3"/>
    <sheet name="2017年一般公共预算支出资金来源情况表" sheetId="4" r:id="rId4"/>
    <sheet name="2017年一般公共预算支出经济分类情况表" sheetId="5" r:id="rId5"/>
    <sheet name="2017年政府性基金预算收支表" sheetId="6" r:id="rId6"/>
    <sheet name="2017年政府性基金预算收支明细表" sheetId="7" r:id="rId7"/>
    <sheet name="2017年政府性基金调入专项收入预算表" sheetId="8" r:id="rId8"/>
    <sheet name="2017年政府性基金预算支出资金来源情况表 " sheetId="9" r:id="rId9"/>
    <sheet name="国有资本经营预算收支总表" sheetId="10" r:id="rId10"/>
    <sheet name="隰县2017年社会保险基金预算收支" sheetId="11" r:id="rId11"/>
    <sheet name="2017年一般公共预算基本支出经济分类表" sheetId="12" r:id="rId12"/>
    <sheet name="非税收入征收计划表" sheetId="13" r:id="rId13"/>
    <sheet name="政府采购预算表" sheetId="14" r:id="rId14"/>
    <sheet name="政府购买服务表" sheetId="15" r:id="rId15"/>
    <sheet name="三公经费" sheetId="16" r:id="rId16"/>
  </sheets>
  <externalReferences>
    <externalReference r:id="rId19"/>
  </externalReferences>
  <definedNames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1">#N/A</definedName>
    <definedName name="地区名称">'[1]封面'!$B$2:$B$6</definedName>
    <definedName name="_xlnm.Print_Titles" localSheetId="8">'2017年政府性基金预算支出资金来源情况表 '!$1:$5</definedName>
    <definedName name="_xlnm.Print_Titles" localSheetId="6">'2017年政府性基金预算收支明细表'!$1:$5</definedName>
    <definedName name="_xlnm.Print_Titles" localSheetId="5">'2017年政府性基金预算收支表'!$1:$5</definedName>
    <definedName name="_xlnm.Print_Titles" localSheetId="4">'2017年一般公共预算支出经济分类情况表'!$A:$A,'2017年一般公共预算支出经济分类情况表'!$1:$4</definedName>
    <definedName name="_xlnm.Print_Titles" localSheetId="3">'2017年一般公共预算支出资金来源情况表'!$1:$5</definedName>
    <definedName name="_xlnm.Print_Titles" localSheetId="2">'2017年一般公共预算收支平衡表'!$1:$5</definedName>
    <definedName name="_xlnm.Print_Titles" localSheetId="0">'2017年一般公共预算收入表'!$1:$4</definedName>
  </definedNames>
  <calcPr fullCalcOnLoad="1"/>
</workbook>
</file>

<file path=xl/sharedStrings.xml><?xml version="1.0" encoding="utf-8"?>
<sst xmlns="http://schemas.openxmlformats.org/spreadsheetml/2006/main" count="2704" uniqueCount="1657">
  <si>
    <t>2017年一般公共预算收入表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</si>
  <si>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</si>
  <si>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</si>
  <si>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</si>
  <si>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</si>
  <si>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</si>
  <si>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</si>
  <si>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</si>
  <si>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</si>
  <si>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</si>
  <si>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</si>
  <si>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</si>
  <si>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</si>
  <si>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</si>
  <si>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</si>
  <si>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</si>
  <si>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</si>
  <si>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</si>
  <si>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</si>
  <si>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</si>
  <si>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</si>
  <si>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</si>
  <si>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</si>
  <si>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</si>
  <si>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</si>
  <si>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</si>
  <si>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</si>
  <si>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</si>
  <si>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</si>
  <si>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</si>
  <si>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</si>
  <si>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</si>
  <si>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</si>
  <si>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</si>
  <si>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2017年一般公共预算支出表</t>
  </si>
  <si>
    <t>项目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</si>
  <si>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</si>
  <si>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</si>
  <si>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</si>
  <si>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</si>
  <si>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</si>
  <si>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</si>
  <si>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</si>
  <si>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</si>
  <si>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</si>
  <si>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</si>
  <si>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</si>
  <si>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</si>
  <si>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</si>
  <si>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</si>
  <si>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</si>
  <si>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</si>
  <si>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</si>
  <si>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</si>
  <si>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</si>
  <si>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</si>
  <si>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</si>
  <si>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</si>
  <si>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</si>
  <si>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</si>
  <si>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</si>
  <si>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</si>
  <si>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</si>
  <si>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</si>
  <si>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</si>
  <si>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</si>
  <si>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</si>
  <si>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</si>
  <si>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</si>
  <si>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</si>
  <si>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</si>
  <si>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</si>
  <si>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</si>
  <si>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</si>
  <si>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</si>
  <si>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</si>
  <si>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</si>
  <si>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</si>
  <si>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</si>
  <si>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</si>
  <si>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</si>
  <si>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</si>
  <si>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</si>
  <si>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</si>
  <si>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</si>
  <si>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</si>
  <si>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</si>
  <si>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</si>
  <si>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</si>
  <si>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</si>
  <si>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</si>
  <si>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</si>
  <si>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</si>
  <si>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</si>
  <si>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</si>
  <si>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</si>
  <si>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</si>
  <si>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</si>
  <si>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</si>
  <si>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</si>
  <si>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</si>
  <si>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</si>
  <si>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</si>
  <si>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</si>
  <si>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</si>
  <si>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</si>
  <si>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</si>
  <si>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</si>
  <si>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</si>
  <si>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</si>
  <si>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</si>
  <si>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</si>
  <si>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</si>
  <si>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</si>
  <si>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</si>
  <si>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</si>
  <si>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</si>
  <si>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</si>
  <si>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</si>
  <si>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</si>
  <si>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</si>
  <si>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</si>
  <si>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</si>
  <si>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</si>
  <si>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</si>
  <si>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</si>
  <si>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</si>
  <si>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</si>
  <si>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</si>
  <si>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</si>
  <si>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</si>
  <si>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</si>
  <si>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</si>
  <si>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</si>
  <si>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</si>
  <si>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</si>
  <si>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</si>
  <si>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</si>
  <si>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</si>
  <si>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</si>
  <si>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</si>
  <si>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</si>
  <si>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</si>
  <si>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</si>
  <si>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</si>
  <si>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</si>
  <si>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</si>
  <si>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</si>
  <si>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</si>
  <si>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</si>
  <si>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</si>
  <si>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</si>
  <si>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</si>
  <si>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</si>
  <si>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</si>
  <si>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</si>
  <si>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</si>
  <si>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</si>
  <si>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</si>
  <si>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</si>
  <si>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</si>
  <si>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</si>
  <si>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</si>
  <si>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</si>
  <si>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</si>
  <si>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</si>
  <si>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</si>
  <si>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</si>
  <si>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</si>
  <si>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</si>
  <si>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</si>
  <si>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</si>
  <si>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</si>
  <si>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</si>
  <si>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</si>
  <si>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</si>
  <si>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</si>
  <si>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</si>
  <si>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</si>
  <si>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</si>
  <si>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</si>
  <si>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</si>
  <si>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</si>
  <si>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</si>
  <si>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</si>
  <si>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</si>
  <si>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</si>
  <si>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</si>
  <si>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</si>
  <si>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</si>
  <si>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</si>
  <si>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</si>
  <si>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</si>
  <si>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</si>
  <si>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</si>
  <si>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</si>
  <si>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</si>
  <si>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</si>
  <si>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</si>
  <si>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</si>
  <si>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</si>
  <si>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</si>
  <si>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</si>
  <si>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</si>
  <si>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</si>
  <si>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</si>
  <si>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</si>
  <si>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</si>
  <si>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</si>
  <si>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</si>
  <si>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</si>
  <si>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</si>
  <si>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</si>
  <si>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</si>
  <si>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</si>
  <si>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</si>
  <si>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</si>
  <si>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</si>
  <si>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</si>
  <si>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</si>
  <si>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</si>
  <si>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</si>
  <si>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</si>
  <si>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</si>
  <si>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</si>
  <si>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</si>
  <si>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</si>
  <si>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</si>
  <si>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</si>
  <si>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</si>
  <si>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</si>
  <si>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</si>
  <si>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</si>
  <si>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</si>
  <si>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</si>
  <si>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</si>
  <si>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</si>
  <si>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</si>
  <si>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</si>
  <si>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</si>
  <si>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</si>
  <si>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</si>
  <si>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</si>
  <si>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</si>
  <si>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</si>
  <si>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</si>
  <si>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</si>
  <si>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</si>
  <si>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</si>
  <si>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</si>
  <si>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</si>
  <si>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</si>
  <si>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</si>
  <si>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</si>
  <si>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</si>
  <si>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</si>
  <si>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</si>
  <si>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</si>
  <si>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</si>
  <si>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</si>
  <si>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</si>
  <si>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</si>
  <si>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</si>
  <si>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</si>
  <si>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</si>
  <si>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</si>
  <si>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</si>
  <si>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</si>
  <si>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</si>
  <si>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</si>
  <si>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</si>
  <si>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</si>
  <si>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</si>
  <si>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</si>
  <si>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</si>
  <si>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</si>
  <si>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</si>
  <si>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</si>
  <si>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</si>
  <si>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</si>
  <si>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</si>
  <si>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</si>
  <si>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</si>
  <si>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</si>
  <si>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</si>
  <si>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</si>
  <si>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</si>
  <si>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</si>
  <si>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</si>
  <si>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</si>
  <si>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</si>
  <si>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</si>
  <si>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</si>
  <si>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</si>
  <si>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</si>
  <si>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</si>
  <si>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</si>
  <si>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</si>
  <si>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</si>
  <si>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</si>
  <si>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</si>
  <si>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</si>
  <si>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</si>
  <si>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</si>
  <si>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</si>
  <si>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</si>
  <si>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</si>
  <si>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</si>
  <si>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</si>
  <si>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</si>
  <si>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</si>
  <si>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</si>
  <si>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</si>
  <si>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</si>
  <si>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</si>
  <si>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</si>
  <si>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</si>
  <si>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</si>
  <si>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</si>
  <si>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</si>
  <si>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</si>
  <si>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</si>
  <si>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</si>
  <si>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</si>
  <si>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</si>
  <si>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</si>
  <si>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</si>
  <si>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</si>
  <si>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</si>
  <si>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</si>
  <si>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</si>
  <si>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</si>
  <si>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</si>
  <si>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</si>
  <si>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</si>
  <si>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</si>
  <si>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</si>
  <si>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</si>
  <si>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</si>
  <si>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</si>
  <si>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</si>
  <si>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</si>
  <si>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</si>
  <si>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</si>
  <si>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</si>
  <si>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</si>
  <si>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</si>
  <si>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</si>
  <si>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</si>
  <si>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</si>
  <si>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</si>
  <si>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</si>
  <si>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</si>
  <si>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</si>
  <si>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</si>
  <si>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</si>
  <si>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</si>
  <si>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</si>
  <si>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</si>
  <si>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</si>
  <si>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</si>
  <si>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</si>
  <si>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</si>
  <si>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</si>
  <si>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</si>
  <si>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</si>
  <si>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</si>
  <si>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</si>
  <si>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</si>
  <si>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</si>
  <si>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</si>
  <si>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</si>
  <si>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</si>
  <si>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</si>
  <si>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</si>
  <si>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</si>
  <si>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</si>
  <si>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</si>
  <si>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</si>
  <si>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</si>
  <si>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</si>
  <si>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</si>
  <si>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</si>
  <si>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</si>
  <si>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</si>
  <si>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</si>
  <si>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</si>
  <si>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</si>
  <si>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</si>
  <si>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</si>
  <si>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</si>
  <si>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</si>
  <si>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</si>
  <si>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</si>
  <si>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</si>
  <si>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</si>
  <si>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</si>
  <si>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</si>
  <si>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</si>
  <si>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</si>
  <si>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</si>
  <si>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</si>
  <si>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</si>
  <si>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</si>
  <si>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</si>
  <si>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</si>
  <si>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</si>
  <si>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</si>
  <si>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</si>
  <si>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</si>
  <si>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</si>
  <si>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</si>
  <si>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</si>
  <si>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</si>
  <si>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</si>
  <si>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</si>
  <si>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</si>
  <si>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</si>
  <si>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</si>
  <si>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</si>
  <si>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</si>
  <si>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</si>
  <si>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</si>
  <si>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</si>
  <si>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</si>
  <si>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</si>
  <si>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</si>
  <si>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</si>
  <si>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</si>
  <si>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</si>
  <si>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</si>
  <si>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</si>
  <si>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</si>
  <si>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</si>
  <si>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</si>
  <si>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</si>
  <si>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</si>
  <si>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</si>
  <si>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</si>
  <si>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</si>
  <si>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</si>
  <si>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</si>
  <si>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</si>
  <si>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</si>
  <si>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</si>
  <si>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</si>
  <si>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</si>
  <si>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</si>
  <si>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</si>
  <si>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</si>
  <si>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</si>
  <si>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</si>
  <si>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</si>
  <si>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</si>
  <si>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</si>
  <si>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</si>
  <si>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</si>
  <si>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</si>
  <si>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</si>
  <si>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</si>
  <si>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</si>
  <si>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</si>
  <si>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</si>
  <si>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</si>
  <si>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</si>
  <si>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</si>
  <si>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</si>
  <si>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</si>
  <si>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</si>
  <si>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</si>
  <si>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</si>
  <si>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</si>
  <si>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</si>
  <si>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</si>
  <si>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</si>
  <si>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</si>
  <si>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</si>
  <si>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</si>
  <si>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</si>
  <si>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</si>
  <si>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</si>
  <si>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</si>
  <si>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</si>
  <si>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</si>
  <si>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</si>
  <si>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</si>
  <si>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</si>
  <si>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</si>
  <si>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</si>
  <si>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</si>
  <si>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</si>
  <si>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</si>
  <si>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</si>
  <si>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</si>
  <si>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</si>
  <si>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</si>
  <si>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</si>
  <si>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</si>
  <si>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</si>
  <si>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</si>
  <si>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</si>
  <si>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</si>
  <si>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</si>
  <si>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</si>
  <si>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</si>
  <si>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</si>
  <si>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</si>
  <si>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</si>
  <si>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</si>
  <si>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</si>
  <si>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</si>
  <si>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</si>
  <si>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</si>
  <si>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</si>
  <si>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</si>
  <si>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</si>
  <si>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</si>
  <si>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</si>
  <si>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</si>
  <si>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</si>
  <si>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</si>
  <si>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</si>
  <si>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</si>
  <si>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</si>
  <si>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</si>
  <si>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</si>
  <si>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</si>
  <si>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</si>
  <si>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</si>
  <si>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</si>
  <si>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</si>
  <si>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</si>
  <si>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</si>
  <si>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</si>
  <si>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</si>
  <si>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</si>
  <si>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</si>
  <si>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</si>
  <si>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</si>
  <si>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</si>
  <si>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</si>
  <si>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</si>
  <si>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</si>
  <si>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</si>
  <si>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</si>
  <si>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</si>
  <si>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</si>
  <si>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</si>
  <si>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</si>
  <si>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</si>
  <si>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</si>
  <si>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</si>
  <si>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</si>
  <si>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</si>
  <si>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</si>
  <si>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</si>
  <si>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</si>
  <si>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</si>
  <si>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</si>
  <si>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</si>
  <si>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</si>
  <si>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</si>
  <si>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</si>
  <si>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</si>
  <si>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</si>
  <si>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</si>
  <si>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</si>
  <si>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</si>
  <si>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</si>
  <si>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</si>
  <si>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</si>
  <si>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</si>
  <si>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</si>
  <si>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</si>
  <si>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</si>
  <si>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</si>
  <si>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</si>
  <si>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</si>
  <si>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</si>
  <si>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</si>
  <si>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</si>
  <si>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</si>
  <si>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</si>
  <si>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</si>
  <si>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</si>
  <si>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</si>
  <si>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</si>
  <si>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</si>
  <si>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</si>
  <si>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</si>
  <si>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</si>
  <si>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</si>
  <si>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</si>
  <si>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</si>
  <si>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</si>
  <si>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</si>
  <si>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</si>
  <si>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</si>
  <si>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</si>
  <si>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</si>
  <si>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</si>
  <si>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</si>
  <si>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</si>
  <si>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</si>
  <si>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</si>
  <si>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</si>
  <si>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</si>
  <si>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</si>
  <si>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</si>
  <si>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</si>
  <si>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</si>
  <si>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</si>
  <si>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</si>
  <si>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</si>
  <si>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</si>
  <si>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</si>
  <si>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</si>
  <si>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</si>
  <si>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</si>
  <si>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</si>
  <si>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</si>
  <si>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</si>
  <si>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</si>
  <si>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</si>
  <si>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</si>
  <si>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</si>
  <si>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</si>
  <si>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</si>
  <si>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</si>
  <si>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</si>
  <si>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</si>
  <si>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</si>
  <si>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</si>
  <si>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</si>
  <si>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</si>
  <si>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</si>
  <si>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</si>
  <si>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</si>
  <si>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</si>
  <si>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</si>
  <si>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</si>
  <si>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</si>
  <si>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</si>
  <si>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</si>
  <si>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</si>
  <si>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</si>
  <si>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</si>
  <si>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</si>
  <si>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</si>
  <si>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</si>
  <si>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</si>
  <si>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</si>
  <si>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</si>
  <si>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</si>
  <si>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</si>
  <si>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</si>
  <si>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</si>
  <si>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</si>
  <si>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</si>
  <si>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</si>
  <si>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</si>
  <si>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</si>
  <si>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</si>
  <si>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</si>
  <si>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</si>
  <si>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</si>
  <si>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</si>
  <si>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</si>
  <si>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</si>
  <si>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</si>
  <si>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</si>
  <si>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</si>
  <si>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</si>
  <si>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</si>
  <si>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</si>
  <si>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</si>
  <si>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</si>
  <si>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</si>
  <si>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</si>
  <si>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</si>
  <si>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</si>
  <si>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</si>
  <si>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</si>
  <si>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</si>
  <si>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</si>
  <si>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</si>
  <si>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</si>
  <si>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</si>
  <si>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</si>
  <si>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</si>
  <si>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</si>
  <si>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</si>
  <si>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</si>
  <si>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</si>
  <si>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</si>
  <si>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</si>
  <si>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</si>
  <si>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</si>
  <si>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</si>
  <si>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</si>
  <si>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</si>
  <si>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</si>
  <si>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</si>
  <si>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</si>
  <si>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</si>
  <si>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</si>
  <si>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</si>
  <si>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</si>
  <si>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</si>
  <si>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</si>
  <si>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</si>
  <si>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</si>
  <si>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</si>
  <si>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</si>
  <si>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</si>
  <si>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</si>
  <si>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</si>
  <si>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</si>
  <si>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</si>
  <si>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</si>
  <si>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</si>
  <si>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</si>
  <si>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</si>
  <si>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</si>
  <si>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</si>
  <si>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</si>
  <si>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</si>
  <si>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</si>
  <si>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</si>
  <si>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</si>
  <si>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</si>
  <si>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</si>
  <si>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</si>
  <si>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</si>
  <si>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</si>
  <si>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</si>
  <si>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</si>
  <si>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</si>
  <si>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</si>
  <si>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</si>
  <si>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</si>
  <si>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</si>
  <si>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</si>
  <si>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</si>
  <si>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</si>
  <si>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</si>
  <si>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</si>
  <si>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</si>
  <si>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</si>
  <si>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</si>
  <si>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</si>
  <si>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</si>
  <si>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</si>
  <si>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</si>
  <si>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</si>
  <si>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</si>
  <si>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</si>
  <si>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</si>
  <si>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</si>
  <si>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</si>
  <si>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</si>
  <si>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</si>
  <si>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</si>
  <si>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</si>
  <si>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</si>
  <si>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</si>
  <si>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</si>
  <si>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</si>
  <si>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</si>
  <si>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</si>
  <si>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</si>
  <si>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</si>
  <si>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</si>
  <si>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</si>
  <si>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</si>
  <si>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</si>
  <si>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</si>
  <si>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</si>
  <si>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</si>
  <si>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</si>
  <si>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</si>
  <si>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</si>
  <si>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</si>
  <si>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</si>
  <si>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</si>
  <si>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</si>
  <si>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</si>
  <si>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</si>
  <si>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</si>
  <si>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</si>
  <si>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</si>
  <si>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</si>
  <si>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</si>
  <si>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</si>
  <si>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</si>
  <si>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</si>
  <si>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</si>
  <si>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</si>
  <si>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</si>
  <si>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</si>
  <si>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</si>
  <si>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</si>
  <si>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</si>
  <si>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</si>
  <si>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</si>
  <si>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</si>
  <si>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</si>
  <si>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</si>
  <si>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</si>
  <si>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</si>
  <si>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</si>
  <si>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</si>
  <si>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</si>
  <si>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</si>
  <si>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</si>
  <si>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</si>
  <si>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</si>
  <si>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</si>
  <si>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</si>
  <si>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</si>
  <si>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</si>
  <si>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</si>
  <si>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</si>
  <si>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</si>
  <si>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</si>
  <si>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</si>
  <si>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</si>
  <si>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</si>
  <si>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</si>
  <si>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</si>
  <si>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</si>
  <si>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</si>
  <si>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</si>
  <si>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</si>
  <si>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</si>
  <si>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</si>
  <si>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</si>
  <si>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</si>
  <si>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</si>
  <si>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</si>
  <si>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</si>
  <si>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</si>
  <si>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</si>
  <si>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</si>
  <si>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</si>
  <si>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</si>
  <si>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</si>
  <si>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</si>
  <si>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</si>
  <si>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</si>
  <si>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</si>
  <si>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</si>
  <si>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</si>
  <si>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</si>
  <si>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</si>
  <si>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</si>
  <si>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</si>
  <si>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</si>
  <si>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</si>
  <si>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</si>
  <si>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</si>
  <si>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</si>
  <si>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</si>
  <si>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</si>
  <si>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</si>
  <si>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</si>
  <si>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</si>
  <si>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</si>
  <si>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</si>
  <si>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</si>
  <si>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</si>
  <si>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</si>
  <si>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</si>
  <si>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</si>
  <si>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</si>
  <si>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</si>
  <si>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</si>
  <si>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</si>
  <si>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</si>
  <si>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</si>
  <si>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</si>
  <si>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</si>
  <si>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</si>
  <si>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</si>
  <si>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</si>
  <si>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</si>
  <si>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</si>
  <si>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</si>
  <si>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</si>
  <si>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</si>
  <si>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</si>
  <si>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</si>
  <si>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</si>
  <si>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</si>
  <si>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</si>
  <si>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</si>
  <si>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</si>
  <si>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</si>
  <si>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</si>
  <si>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</si>
  <si>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</si>
  <si>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</si>
  <si>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</si>
  <si>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</si>
  <si>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</si>
  <si>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</si>
  <si>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</si>
  <si>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</si>
  <si>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</si>
  <si>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</si>
  <si>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</si>
  <si>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</si>
  <si>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</si>
  <si>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</si>
  <si>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</si>
  <si>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</si>
  <si>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</si>
  <si>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</si>
  <si>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</si>
  <si>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</si>
  <si>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</si>
  <si>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</si>
  <si>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</si>
  <si>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</si>
  <si>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</si>
  <si>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</si>
  <si>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</si>
  <si>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</si>
  <si>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</si>
  <si>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</si>
  <si>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</si>
  <si>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</si>
  <si>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</si>
  <si>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</si>
  <si>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</si>
  <si>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</si>
  <si>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</si>
  <si>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</si>
  <si>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</si>
  <si>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</si>
  <si>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</si>
  <si>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</si>
  <si>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</si>
  <si>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</si>
  <si>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</si>
  <si>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</si>
  <si>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</si>
  <si>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</si>
  <si>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</si>
  <si>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</si>
  <si>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</si>
  <si>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</si>
  <si>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</si>
  <si>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</si>
  <si>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</si>
  <si>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</si>
  <si>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</si>
  <si>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</si>
  <si>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</si>
  <si>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</si>
  <si>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</si>
  <si>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</si>
  <si>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</si>
  <si>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</si>
  <si>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</si>
  <si>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</si>
  <si>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</si>
  <si>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</si>
  <si>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</si>
  <si>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</si>
  <si>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</si>
  <si>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</si>
  <si>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</si>
  <si>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</si>
  <si>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</si>
  <si>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</si>
  <si>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</si>
  <si>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</si>
  <si>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</si>
  <si>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</si>
  <si>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</si>
  <si>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</si>
  <si>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</si>
  <si>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</si>
  <si>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</si>
  <si>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</si>
  <si>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</si>
  <si>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</si>
  <si>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</si>
  <si>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</si>
  <si>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</si>
  <si>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</si>
  <si>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</si>
  <si>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</si>
  <si>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</si>
  <si>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</si>
  <si>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</si>
  <si>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</si>
  <si>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</si>
  <si>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</si>
  <si>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</si>
  <si>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</si>
  <si>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</si>
  <si>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</si>
  <si>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</si>
  <si>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</si>
  <si>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</si>
  <si>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</si>
  <si>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</si>
  <si>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</si>
  <si>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</si>
  <si>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</si>
  <si>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</si>
  <si>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</si>
  <si>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</si>
  <si>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</si>
  <si>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</si>
  <si>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</si>
  <si>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</si>
  <si>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</si>
  <si>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</si>
  <si>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</si>
  <si>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</si>
  <si>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</si>
  <si>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</si>
  <si>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</si>
  <si>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</si>
  <si>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</si>
  <si>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</si>
  <si>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</si>
  <si>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</si>
  <si>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</si>
  <si>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</si>
  <si>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</si>
  <si>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</si>
  <si>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</si>
  <si>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</si>
  <si>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</si>
  <si>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</si>
  <si>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</si>
  <si>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</si>
  <si>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</si>
  <si>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</si>
  <si>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</si>
  <si>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</si>
  <si>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</si>
  <si>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</si>
  <si>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</si>
  <si>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</si>
  <si>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</si>
  <si>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</si>
  <si>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</si>
  <si>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</si>
  <si>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</si>
  <si>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</si>
  <si>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</si>
  <si>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</si>
  <si>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表三</t>
  </si>
  <si>
    <t>2017年一般公共预算收支平衡表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</si>
  <si>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</si>
  <si>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</si>
  <si>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</si>
  <si>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</si>
  <si>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</si>
  <si>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</si>
  <si>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</si>
  <si>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</si>
  <si>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</si>
  <si>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</si>
  <si>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</si>
  <si>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</si>
  <si>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</si>
  <si>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</si>
  <si>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</si>
  <si>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</si>
  <si>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</si>
  <si>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</si>
  <si>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</si>
  <si>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</si>
  <si>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</si>
  <si>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</si>
  <si>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</si>
  <si>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</si>
  <si>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</si>
  <si>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</si>
  <si>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</si>
  <si>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</si>
  <si>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</si>
  <si>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</si>
  <si>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</si>
  <si>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</si>
  <si>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</si>
  <si>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</si>
  <si>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</si>
  <si>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</si>
  <si>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</si>
  <si>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</si>
  <si>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</si>
  <si>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</si>
  <si>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</si>
  <si>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</si>
  <si>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</si>
  <si>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</si>
  <si>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</si>
  <si>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</si>
  <si>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</si>
  <si>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</si>
  <si>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</si>
  <si>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</si>
  <si>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</si>
  <si>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</si>
  <si>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</si>
  <si>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</si>
  <si>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</si>
  <si>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</si>
  <si>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</si>
  <si>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</si>
  <si>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</si>
  <si>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</si>
  <si>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</si>
  <si>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</si>
  <si>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</si>
  <si>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</si>
  <si>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</si>
  <si>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</si>
  <si>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</si>
  <si>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</si>
  <si>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</si>
  <si>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</si>
  <si>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</si>
  <si>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</si>
  <si>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2017年一般公共预算支出资金来源情况表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</si>
  <si>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</si>
  <si>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</si>
  <si>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</si>
  <si>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</si>
  <si>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</si>
  <si>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</si>
  <si>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</si>
  <si>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 xml:space="preserve">    财政对基本养老保险基金的救助</t>
  </si>
  <si>
    <t xml:space="preserve">    财政对其他社会保险基金的救助</t>
  </si>
  <si>
    <t xml:space="preserve">      年初预留</t>
  </si>
  <si>
    <t>2017年一般公共预算支出经济分类情况表</t>
  </si>
  <si>
    <t>单位:万元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</si>
  <si>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</si>
  <si>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</si>
  <si>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</si>
  <si>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</si>
  <si>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</si>
  <si>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</si>
  <si>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</si>
  <si>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</si>
  <si>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其他支出</t>
  </si>
  <si>
    <t>一、一般公共服务支出</t>
  </si>
  <si>
    <t>2017年政府性基金预算收支表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</si>
  <si>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</si>
  <si>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</si>
  <si>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</si>
  <si>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</si>
  <si>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</si>
  <si>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</si>
  <si>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四、新型墙体材料专项基金收入</t>
  </si>
  <si>
    <t xml:space="preserve">    大中型水库移民后期扶持基金支出</t>
  </si>
  <si>
    <t>五、国家电影事业发展专项资金收入</t>
  </si>
  <si>
    <t xml:space="preserve">    小型水库移民扶助基金及对应专项债务收入安排的支出</t>
  </si>
  <si>
    <t>六、城市公用事业附加收入</t>
  </si>
  <si>
    <t>三、节能环保支出</t>
  </si>
  <si>
    <t>七、国有土地收益基金收入</t>
  </si>
  <si>
    <t xml:space="preserve">    可再生能源电价附加收入安排的支出</t>
  </si>
  <si>
    <t>八、农业土地开发资金收入</t>
  </si>
  <si>
    <t xml:space="preserve">    废弃电器电子产品处理基金支出</t>
  </si>
  <si>
    <t>九、国有土地使用权出让收入</t>
  </si>
  <si>
    <t>四、城乡社区支出</t>
  </si>
  <si>
    <t>十、大中型水库库区基金收入</t>
  </si>
  <si>
    <t xml:space="preserve">    国有土地使用权出让收入及对应专项债务收入安排的支出</t>
  </si>
  <si>
    <t>十一、彩票公益金收入</t>
  </si>
  <si>
    <t xml:space="preserve">    城市公用事业附加及对应专项债务收入安排的支出</t>
  </si>
  <si>
    <t>十二、城市基础设施配套费收入</t>
  </si>
  <si>
    <t xml:space="preserve">    国有土地收益基金及对应专项债务收入安排的支出</t>
  </si>
  <si>
    <t>十三、小型水库移民扶助基金收入</t>
  </si>
  <si>
    <t xml:space="preserve">    农业土地开发资金及对应专项债务收入安排的支出</t>
  </si>
  <si>
    <t>十四、国家重大水利工程建设基金收入</t>
  </si>
  <si>
    <t xml:space="preserve">    城市基础设施配套费及对应专项债务收入安排的支出</t>
  </si>
  <si>
    <t>十五、车辆通行费</t>
  </si>
  <si>
    <t xml:space="preserve">    污水处理费收入及对应专项债务收入安排的支出</t>
  </si>
  <si>
    <t>十六、污水处理费收入</t>
  </si>
  <si>
    <t>五、农林水支出</t>
  </si>
  <si>
    <t>十七、彩票发行机构和彩票销售机构的业务费用</t>
  </si>
  <si>
    <t xml:space="preserve">    新菜地开发建设基金及对应专项债务收入安排的支出</t>
  </si>
  <si>
    <t>十八、其他政府性基金收入</t>
  </si>
  <si>
    <t xml:space="preserve">    大中型水库库区基金及对应债务专著收入安排的支出</t>
  </si>
  <si>
    <t>十九、彩票发行机构和彩票销售机构的业务费用</t>
  </si>
  <si>
    <t xml:space="preserve">    三峡水库库区基金支出</t>
  </si>
  <si>
    <t>二十、其他政府性基金收入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</si>
  <si>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</si>
  <si>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</si>
  <si>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</si>
  <si>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</si>
  <si>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</si>
  <si>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</si>
  <si>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</si>
  <si>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</si>
  <si>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</si>
  <si>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</si>
  <si>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</si>
  <si>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</si>
  <si>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</si>
  <si>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</si>
  <si>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</si>
  <si>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</si>
  <si>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</si>
  <si>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</si>
  <si>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</si>
  <si>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</si>
  <si>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</si>
  <si>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</si>
  <si>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</si>
  <si>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</si>
  <si>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</si>
  <si>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</si>
  <si>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</si>
  <si>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</si>
  <si>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</si>
  <si>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</si>
  <si>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</si>
  <si>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</si>
  <si>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</si>
  <si>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2017年政府性基金预算收支明细表</t>
  </si>
  <si>
    <t>当年财力</t>
  </si>
  <si>
    <t>上年结转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</si>
  <si>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</si>
  <si>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</si>
  <si>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</si>
  <si>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</si>
  <si>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</si>
  <si>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土地出让价款收入</t>
  </si>
  <si>
    <t xml:space="preserve">      基础设施建设和经济发展</t>
  </si>
  <si>
    <t xml:space="preserve">  补缴的土地价款</t>
  </si>
  <si>
    <t xml:space="preserve">      其他大中型水库移民后期扶持基金支出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</si>
  <si>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</si>
  <si>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</si>
  <si>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</si>
  <si>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 xml:space="preserve">      其他小型水库移民扶助基金支出</t>
  </si>
  <si>
    <t xml:space="preserve">  福利彩票公益金收入</t>
  </si>
  <si>
    <t xml:space="preserve">  体育彩票公益金收入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</si>
  <si>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</si>
  <si>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</si>
  <si>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</si>
  <si>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t xml:space="preserve">  南水北调工程建设资金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</si>
  <si>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</si>
  <si>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 xml:space="preserve">  三峡工程后续工作资金</t>
  </si>
  <si>
    <t xml:space="preserve">  省级重大水利工程建设资金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</si>
  <si>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</si>
  <si>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</si>
  <si>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</si>
  <si>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</si>
  <si>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</si>
  <si>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</si>
  <si>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</si>
  <si>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</si>
  <si>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</si>
  <si>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</si>
  <si>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</si>
  <si>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</si>
  <si>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</si>
  <si>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</si>
  <si>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</si>
  <si>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</si>
  <si>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</si>
  <si>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  其他国有土地收益基金支出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</si>
  <si>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</si>
  <si>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</si>
  <si>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</si>
  <si>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</si>
  <si>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</si>
  <si>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</si>
  <si>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</si>
  <si>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</si>
  <si>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</si>
  <si>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</si>
  <si>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</si>
  <si>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</si>
  <si>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</si>
  <si>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</si>
  <si>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</si>
  <si>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</si>
  <si>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</si>
  <si>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</si>
  <si>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</si>
  <si>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</si>
  <si>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</si>
  <si>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</si>
  <si>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</si>
  <si>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</si>
  <si>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</si>
  <si>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</si>
  <si>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</si>
  <si>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</si>
  <si>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</si>
  <si>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</si>
  <si>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</si>
  <si>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</si>
  <si>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</si>
  <si>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</si>
  <si>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</si>
  <si>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</si>
  <si>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</si>
  <si>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</si>
  <si>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</si>
  <si>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</si>
  <si>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</si>
  <si>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</si>
  <si>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</si>
  <si>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</si>
  <si>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</si>
  <si>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</si>
  <si>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</si>
  <si>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</si>
  <si>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</si>
  <si>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</si>
  <si>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</si>
  <si>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</si>
  <si>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</si>
  <si>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</si>
  <si>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</si>
  <si>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</si>
  <si>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</si>
  <si>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</si>
  <si>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</si>
  <si>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</si>
  <si>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</si>
  <si>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</si>
  <si>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</si>
  <si>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</si>
  <si>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</si>
  <si>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</si>
  <si>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</si>
  <si>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</si>
  <si>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</si>
  <si>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</si>
  <si>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</si>
  <si>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</si>
  <si>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</si>
  <si>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</si>
  <si>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</si>
  <si>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</si>
  <si>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</si>
  <si>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</si>
  <si>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</si>
  <si>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</si>
  <si>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</si>
  <si>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</si>
  <si>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</si>
  <si>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</si>
  <si>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</si>
  <si>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2017年政府性基金调入专项收入预算表</t>
  </si>
  <si>
    <r>
      <t>2017</t>
    </r>
    <r>
      <rPr>
        <b/>
        <sz val="16"/>
        <rFont val="黑体"/>
        <family val="3"/>
      </rPr>
      <t>年政府性基金预算支出资金来源情况表</t>
    </r>
  </si>
  <si>
    <t>当年预算收入安排</t>
  </si>
  <si>
    <t>转移支付收入安排</t>
  </si>
  <si>
    <t>上年结余</t>
  </si>
  <si>
    <t>国有资本经营预算收支总表</t>
  </si>
  <si>
    <t>填报单位：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</si>
  <si>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</si>
  <si>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</si>
  <si>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</si>
  <si>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</si>
  <si>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</si>
  <si>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2016年执行数</t>
  </si>
  <si>
    <r>
      <t>2017年</t>
    </r>
    <r>
      <rPr>
        <sz val="10"/>
        <rFont val="宋体"/>
        <family val="0"/>
      </rPr>
      <t>预算数</t>
    </r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</si>
  <si>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</si>
  <si>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</si>
  <si>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</si>
  <si>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</si>
  <si>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</si>
  <si>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</si>
  <si>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</si>
  <si>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</si>
  <si>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</si>
  <si>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</si>
  <si>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</si>
  <si>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</si>
  <si>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</si>
  <si>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</si>
  <si>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</si>
  <si>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</si>
  <si>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</si>
  <si>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</si>
  <si>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</si>
  <si>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</si>
  <si>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</si>
  <si>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</si>
  <si>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注: 以上项目以2017年政府收支科目为准</t>
    </r>
    <r>
      <rPr>
        <sz val="10"/>
        <rFont val="宋体"/>
        <family val="0"/>
      </rPr>
      <t>。</t>
    </r>
  </si>
  <si>
    <t>隰县2017年社会保险基金预算收支</t>
  </si>
  <si>
    <t>表十五</t>
  </si>
  <si>
    <t>项        目</t>
  </si>
  <si>
    <t>2017年预算收入数</t>
  </si>
  <si>
    <t xml:space="preserve">    其中：财政补贴收入</t>
  </si>
  <si>
    <t>2017年预算支出数</t>
  </si>
  <si>
    <t>收支结余</t>
  </si>
  <si>
    <t>企业职工基本养老保险基金</t>
  </si>
  <si>
    <t>城乡居民基本养老保险基金</t>
  </si>
  <si>
    <t>新型农村合作医疗医疗保险基金</t>
  </si>
  <si>
    <t>机关养老保险基金</t>
  </si>
  <si>
    <t>合    计</t>
  </si>
  <si>
    <t xml:space="preserve">  </t>
  </si>
  <si>
    <t>隰县2017年一般公共预算基本支出经济分类表</t>
  </si>
  <si>
    <t>单位：元</t>
  </si>
  <si>
    <t>经济科目名称</t>
  </si>
  <si>
    <t>**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</si>
  <si>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</si>
  <si>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</si>
  <si>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</si>
  <si>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</si>
  <si>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</si>
  <si>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</si>
  <si>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</si>
  <si>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</si>
  <si>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</si>
  <si>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</si>
  <si>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</si>
  <si>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</si>
  <si>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</si>
  <si>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</si>
  <si>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</si>
  <si>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</si>
  <si>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</si>
  <si>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</si>
  <si>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</si>
  <si>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</si>
  <si>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</si>
  <si>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</si>
  <si>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</si>
  <si>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</si>
  <si>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</si>
  <si>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</si>
  <si>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</si>
  <si>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</si>
  <si>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采暖补贴</t>
  </si>
  <si>
    <t xml:space="preserve">  其他对个人和家庭的补助支出</t>
  </si>
  <si>
    <t xml:space="preserve">  专用设备购置</t>
  </si>
  <si>
    <t>2017年行政事业单位非税收入核定表</t>
  </si>
  <si>
    <t>单位编码</t>
  </si>
  <si>
    <t>项目名称</t>
  </si>
  <si>
    <t>预算管理的行政性收费</t>
  </si>
  <si>
    <t>罚没收入</t>
  </si>
  <si>
    <t>专项收入</t>
  </si>
  <si>
    <t>政府性基金收入</t>
  </si>
  <si>
    <t>国有资源（资产）有偿使用收入</t>
  </si>
  <si>
    <t>财政专户管理的非税收入</t>
  </si>
  <si>
    <t>国有资本经营收入</t>
  </si>
  <si>
    <t>其他收入</t>
  </si>
  <si>
    <t>前三年实际完成数</t>
  </si>
  <si>
    <t>2014年</t>
  </si>
  <si>
    <t>2015年</t>
  </si>
  <si>
    <t>2016年</t>
  </si>
  <si>
    <t>平均数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</si>
  <si>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</si>
  <si>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</si>
  <si>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</si>
  <si>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</si>
  <si>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</si>
  <si>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</si>
  <si>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</si>
  <si>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</si>
  <si>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</si>
  <si>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007</t>
  </si>
  <si>
    <t>隰县治理非法超限超载车辆领导组办公室</t>
  </si>
  <si>
    <t xml:space="preserve">  007001</t>
  </si>
  <si>
    <t xml:space="preserve">  隰县治理非法超限超载车辆领导组办公室</t>
  </si>
  <si>
    <t xml:space="preserve">    </t>
  </si>
  <si>
    <t xml:space="preserve">    交通罚没收入</t>
  </si>
  <si>
    <t>028</t>
  </si>
  <si>
    <t>中国共产党隰县纪律检查委员会</t>
  </si>
  <si>
    <t xml:space="preserve">  028001</t>
  </si>
  <si>
    <t xml:space="preserve">  中国共产党隰县纪律检查委员会</t>
  </si>
  <si>
    <t xml:space="preserve">    其他一般罚没收入</t>
  </si>
  <si>
    <t>032</t>
  </si>
  <si>
    <t>隰县国土资源局</t>
  </si>
  <si>
    <t xml:space="preserve">  032001</t>
  </si>
  <si>
    <t xml:space="preserve">  隰县国土资源局</t>
  </si>
  <si>
    <t>061</t>
  </si>
  <si>
    <t>山西省隰县公安局交通警察大队</t>
  </si>
  <si>
    <t xml:space="preserve">  061001</t>
  </si>
  <si>
    <t xml:space="preserve">  山西省隰县公安局交通警察大队</t>
  </si>
  <si>
    <t>094</t>
  </si>
  <si>
    <t>隰县残疾人联合会</t>
  </si>
  <si>
    <t xml:space="preserve">  094001</t>
  </si>
  <si>
    <t xml:space="preserve">  隰县残疾人联合会</t>
  </si>
  <si>
    <t xml:space="preserve">    残疾人就业保障金收入</t>
  </si>
  <si>
    <t>102</t>
  </si>
  <si>
    <t>隰县卫生局卫生监督所</t>
  </si>
  <si>
    <t xml:space="preserve">  102001</t>
  </si>
  <si>
    <t xml:space="preserve">  隰县卫生局卫生监督所</t>
  </si>
  <si>
    <t xml:space="preserve">    卫生罚没收入</t>
  </si>
  <si>
    <t>107</t>
  </si>
  <si>
    <t>隰县环境保护局</t>
  </si>
  <si>
    <t xml:space="preserve">  107001</t>
  </si>
  <si>
    <t xml:space="preserve">  隰县环境保护局</t>
  </si>
  <si>
    <t xml:space="preserve">    排污费收入</t>
  </si>
  <si>
    <t>108</t>
  </si>
  <si>
    <t>隰县住房保障和城乡建设管理局</t>
  </si>
  <si>
    <t xml:space="preserve">  108001</t>
  </si>
  <si>
    <t xml:space="preserve">  隰县住房保障和城乡建设管理局</t>
  </si>
  <si>
    <t xml:space="preserve">    新型墙体材料专项基金收入</t>
  </si>
  <si>
    <t xml:space="preserve">    城市基础设施配套费收入</t>
  </si>
  <si>
    <t xml:space="preserve">    污水处理费收入</t>
  </si>
  <si>
    <t xml:space="preserve">    其他缴入国库的建设行政事业性收费</t>
  </si>
  <si>
    <t>111</t>
  </si>
  <si>
    <t>隰县城市管理中心</t>
  </si>
  <si>
    <t xml:space="preserve">  111001</t>
  </si>
  <si>
    <t xml:space="preserve">  隰县城市管理中心</t>
  </si>
  <si>
    <t xml:space="preserve">    其他缴入国库的卫生行政事业性收费</t>
  </si>
  <si>
    <t>120</t>
  </si>
  <si>
    <t>隰县林业局</t>
  </si>
  <si>
    <t xml:space="preserve">  120001</t>
  </si>
  <si>
    <t xml:space="preserve">  隰县林业局</t>
  </si>
  <si>
    <t>121</t>
  </si>
  <si>
    <t>隰县水利水保局</t>
  </si>
  <si>
    <t xml:space="preserve">  121001</t>
  </si>
  <si>
    <t xml:space="preserve">  隰县水利水保局</t>
  </si>
  <si>
    <t xml:space="preserve">    其他水资源费收入</t>
  </si>
  <si>
    <t xml:space="preserve">    河道采砂管理费</t>
  </si>
  <si>
    <t xml:space="preserve">    河道工程修建维护管理费</t>
  </si>
  <si>
    <t xml:space="preserve">    水土保持补偿费</t>
  </si>
  <si>
    <t>127</t>
  </si>
  <si>
    <t>隰县交通运输局</t>
  </si>
  <si>
    <t xml:space="preserve">  127001</t>
  </si>
  <si>
    <t xml:space="preserve">  隰县交通运输局</t>
  </si>
  <si>
    <t xml:space="preserve">    其他缴入国库的交通运输行政事业性收费</t>
  </si>
  <si>
    <t>128</t>
  </si>
  <si>
    <t>隰县道路运输管理所</t>
  </si>
  <si>
    <t xml:space="preserve">  128001</t>
  </si>
  <si>
    <t xml:space="preserve">  隰县道路运输管理所</t>
  </si>
  <si>
    <t>207</t>
  </si>
  <si>
    <t>隰县工商和质量监督管理局</t>
  </si>
  <si>
    <t xml:space="preserve">  207001</t>
  </si>
  <si>
    <t xml:space="preserve">  隰县工商和质量监督管理局</t>
  </si>
  <si>
    <t xml:space="preserve">    特种设备检验检测费</t>
  </si>
  <si>
    <t xml:space="preserve">    工商罚没收入</t>
  </si>
  <si>
    <t>政府采购预算表</t>
  </si>
  <si>
    <t>经济科目</t>
  </si>
  <si>
    <t>采购类别</t>
  </si>
  <si>
    <t>政府采购目录</t>
  </si>
  <si>
    <t>采购方式</t>
  </si>
  <si>
    <t>采购数量</t>
  </si>
  <si>
    <t>计量单位</t>
  </si>
  <si>
    <t>资金来源</t>
  </si>
  <si>
    <t>需求时间</t>
  </si>
  <si>
    <t>财政拨款（补助）</t>
  </si>
  <si>
    <t>纳入预算管理的非税收入拨款</t>
  </si>
  <si>
    <t>财政专户管理的非税收入拨款</t>
  </si>
  <si>
    <t>预算管理的行政性收费拨款</t>
  </si>
  <si>
    <t>罚没收入拨款</t>
  </si>
  <si>
    <t>专项收入拨款</t>
  </si>
  <si>
    <t>政府性基金拨款</t>
  </si>
  <si>
    <t>003</t>
  </si>
  <si>
    <t>隰县人民政府办公室</t>
  </si>
  <si>
    <t xml:space="preserve">  003001</t>
  </si>
  <si>
    <t xml:space="preserve">  隰县人民政府办公室</t>
  </si>
  <si>
    <t xml:space="preserve">    办公设备购置</t>
  </si>
  <si>
    <t>01</t>
  </si>
  <si>
    <t>台式计算机</t>
  </si>
  <si>
    <t>集中采购</t>
  </si>
  <si>
    <t>台</t>
  </si>
  <si>
    <t>006</t>
  </si>
  <si>
    <t>隰县行政审批中心</t>
  </si>
  <si>
    <t xml:space="preserve">  006001</t>
  </si>
  <si>
    <t xml:space="preserve">  隰县行政审批中心</t>
  </si>
  <si>
    <t xml:space="preserve">    政府购买服务</t>
  </si>
  <si>
    <t>03</t>
  </si>
  <si>
    <t>物业管理服务</t>
  </si>
  <si>
    <t>010</t>
  </si>
  <si>
    <t>隰县统计局</t>
  </si>
  <si>
    <t xml:space="preserve">  010001</t>
  </si>
  <si>
    <t xml:space="preserve">  隰县统计局</t>
  </si>
  <si>
    <t xml:space="preserve">    第三次全国农业普查</t>
  </si>
  <si>
    <t>分散采购</t>
  </si>
  <si>
    <t xml:space="preserve">    粮食作物抽样调查</t>
  </si>
  <si>
    <t>打印设备</t>
  </si>
  <si>
    <t>其他办公设备</t>
  </si>
  <si>
    <t>套</t>
  </si>
  <si>
    <t>011</t>
  </si>
  <si>
    <t>隰县财政局</t>
  </si>
  <si>
    <t xml:space="preserve">  011001</t>
  </si>
  <si>
    <t xml:space="preserve">  隰县财政局</t>
  </si>
  <si>
    <t>便携式计算机</t>
  </si>
  <si>
    <t>034</t>
  </si>
  <si>
    <t>隰县气象局</t>
  </si>
  <si>
    <t xml:space="preserve">  034001</t>
  </si>
  <si>
    <t xml:space="preserve">  隰县气象局</t>
  </si>
  <si>
    <t xml:space="preserve">    为农信息服务费</t>
  </si>
  <si>
    <t>信息系统集成实施服务</t>
  </si>
  <si>
    <t xml:space="preserve">    隰县气象信息服务站气象设备维护与保障</t>
  </si>
  <si>
    <t>运行维护服务</t>
  </si>
  <si>
    <t>056</t>
  </si>
  <si>
    <t>隰县寨子乡人民政府</t>
  </si>
  <si>
    <t xml:space="preserve">  056001</t>
  </si>
  <si>
    <t xml:space="preserve">  隰县寨子乡人民政府</t>
  </si>
  <si>
    <t xml:space="preserve">    公用经费</t>
  </si>
  <si>
    <t>印刷费</t>
  </si>
  <si>
    <t>办公费</t>
  </si>
  <si>
    <t xml:space="preserve">    新建车管所彩钢档案室</t>
  </si>
  <si>
    <t>02</t>
  </si>
  <si>
    <t>建筑物</t>
  </si>
  <si>
    <t xml:space="preserve">    日常运行费</t>
  </si>
  <si>
    <t>柜类</t>
  </si>
  <si>
    <t>161</t>
  </si>
  <si>
    <t>隰县光荣院</t>
  </si>
  <si>
    <t xml:space="preserve">  161001</t>
  </si>
  <si>
    <t xml:space="preserve">  隰县光荣院</t>
  </si>
  <si>
    <t xml:space="preserve">    政府采购更新锅炉</t>
  </si>
  <si>
    <t>锅炉</t>
  </si>
  <si>
    <t>212</t>
  </si>
  <si>
    <t>隰县龙泉镇敬老院</t>
  </si>
  <si>
    <t xml:space="preserve">  212001</t>
  </si>
  <si>
    <t xml:space="preserve">  隰县龙泉镇敬老院</t>
  </si>
  <si>
    <t>政府购买服务表</t>
  </si>
  <si>
    <t>政府购买服务内容</t>
  </si>
  <si>
    <t>承接主体</t>
  </si>
  <si>
    <t>004</t>
  </si>
  <si>
    <t>隰县机关事务管理局</t>
  </si>
  <si>
    <t xml:space="preserve">  004001</t>
  </si>
  <si>
    <t xml:space="preserve">  隰县机关事务管理局</t>
  </si>
  <si>
    <t>其他政府委托的公共就业服务</t>
  </si>
  <si>
    <t>其他政府委托的基本公共安全服务</t>
  </si>
  <si>
    <t>临汾市路源劳务派遣有限公司</t>
  </si>
  <si>
    <t>其他政府委托的服务三农事项</t>
  </si>
  <si>
    <t xml:space="preserve">    城区绿化养护费</t>
  </si>
  <si>
    <t>其他政府向社会购买公共服务事项</t>
  </si>
  <si>
    <t xml:space="preserve">    森林公园、滨河路、幼奥中心、车家坡桥头及部分街道管护</t>
  </si>
  <si>
    <t>其他政府基本公共服务事项</t>
  </si>
  <si>
    <t>幼奥中心管护</t>
  </si>
  <si>
    <t>奥体中心护坡管理</t>
  </si>
  <si>
    <t>堆金山森林公园管护</t>
  </si>
  <si>
    <t>滨河路管护</t>
  </si>
  <si>
    <t>车家坡桥头及部分街道管护</t>
  </si>
  <si>
    <t xml:space="preserve">    紫川河管护</t>
  </si>
  <si>
    <t>124</t>
  </si>
  <si>
    <t>隰县扶贫局</t>
  </si>
  <si>
    <t xml:space="preserve">  124001</t>
  </si>
  <si>
    <t xml:space="preserve">  隰县扶贫局</t>
  </si>
  <si>
    <t>优抚安置设施维护服务</t>
  </si>
  <si>
    <t>其他政府委托的优抚安置服务</t>
  </si>
  <si>
    <t>隰县2017年一般公共预算“三公”经费支出情况统计表</t>
  </si>
  <si>
    <t>2017年预算数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</si>
  <si>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</si>
  <si>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</si>
  <si>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</si>
  <si>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</si>
  <si>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</si>
  <si>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会议费小计</t>
  </si>
  <si>
    <t>一类</t>
  </si>
  <si>
    <t>二类</t>
  </si>
  <si>
    <t>三类</t>
  </si>
  <si>
    <t>四类</t>
  </si>
  <si>
    <t>培训费</t>
  </si>
  <si>
    <t>备注：本表数据反映部门使用当年一般公共预算安排的因公出国（境）费用、公务接待费以及公务用车购置和运行维护费预算情况。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</si>
</sst>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##,###,###,##0.00"/>
    <numFmt numFmtId="178" formatCode="0.00_);[Red]\(0.00\)"/>
    <numFmt numFmtId="179" formatCode="#,##0.00_ ;\-#,##0.00;;"/>
    <numFmt numFmtId="180" formatCode="0_ "/>
    <numFmt numFmtId="181" formatCode="0.0_ "/>
    <numFmt numFmtId="182" formatCode="0_);[Red]\(0\)"/>
  </numFmts>
  <fonts count="58">
    <font>
      <sz val="9"/>
      <name val="宋体"/>
      <family val="0"/>
    </font>
    <font>
      <sz val="8"/>
      <name val="宋体"/>
      <family val="0"/>
    </font>
    <font>
      <sz val="8"/>
      <name val="仿宋"/>
      <family val="3"/>
    </font>
    <font>
      <sz val="14"/>
      <name val="华文中宋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2"/>
      <name val="仿宋_GB2312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7" fillId="0" borderId="0" applyFont="0" applyFill="0" applyBorder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9" fontId="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5" fillId="33" borderId="0" xfId="0" applyNumberFormat="1" applyFont="1" applyFill="1" applyAlignment="1">
      <alignment horizontal="centerContinuous" vertical="center"/>
    </xf>
    <xf numFmtId="49" fontId="6" fillId="33" borderId="13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 applyProtection="1">
      <alignment horizontal="centerContinuous" vertical="center"/>
      <protection/>
    </xf>
    <xf numFmtId="49" fontId="6" fillId="33" borderId="15" xfId="0" applyNumberFormat="1" applyFont="1" applyFill="1" applyBorder="1" applyAlignment="1" applyProtection="1">
      <alignment horizontal="centerContinuous" vertical="center"/>
      <protection/>
    </xf>
    <xf numFmtId="49" fontId="6" fillId="33" borderId="16" xfId="0" applyNumberFormat="1" applyFont="1" applyFill="1" applyBorder="1" applyAlignment="1" applyProtection="1">
      <alignment horizontal="centerContinuous" vertical="center"/>
      <protection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9" fontId="6" fillId="33" borderId="13" xfId="0" applyNumberFormat="1" applyFont="1" applyFill="1" applyBorder="1" applyAlignment="1">
      <alignment horizontal="right" vertical="center"/>
    </xf>
    <xf numFmtId="49" fontId="6" fillId="33" borderId="20" xfId="0" applyNumberFormat="1" applyFont="1" applyFill="1" applyBorder="1" applyAlignment="1" applyProtection="1">
      <alignment horizontal="centerContinuous" vertical="center"/>
      <protection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176" fontId="6" fillId="33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3" fontId="6" fillId="33" borderId="9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0" fontId="6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Continuous"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39" fontId="6" fillId="0" borderId="20" xfId="0" applyNumberFormat="1" applyFont="1" applyFill="1" applyBorder="1" applyAlignment="1" applyProtection="1">
      <alignment horizontal="right" vertical="center"/>
      <protection/>
    </xf>
    <xf numFmtId="39" fontId="6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9" fontId="6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178" fontId="11" fillId="33" borderId="9" xfId="0" applyNumberFormat="1" applyFont="1" applyFill="1" applyBorder="1" applyAlignment="1" applyProtection="1">
      <alignment horizontal="center" vertical="center"/>
      <protection/>
    </xf>
    <xf numFmtId="179" fontId="11" fillId="33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 applyProtection="1">
      <alignment vertical="center"/>
      <protection/>
    </xf>
    <xf numFmtId="0" fontId="13" fillId="34" borderId="9" xfId="0" applyFont="1" applyFill="1" applyBorder="1" applyAlignment="1">
      <alignment vertical="center"/>
    </xf>
    <xf numFmtId="3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/>
    </xf>
    <xf numFmtId="49" fontId="15" fillId="0" borderId="9" xfId="61" applyNumberFormat="1" applyFont="1" applyFill="1" applyBorder="1" applyAlignment="1" applyProtection="1">
      <alignment horizontal="distributed" vertical="center"/>
      <protection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4" fillId="34" borderId="17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 applyProtection="1">
      <alignment vertical="center"/>
      <protection/>
    </xf>
    <xf numFmtId="3" fontId="18" fillId="0" borderId="9" xfId="0" applyNumberFormat="1" applyFont="1" applyFill="1" applyBorder="1" applyAlignment="1" applyProtection="1">
      <alignment vertical="center"/>
      <protection/>
    </xf>
    <xf numFmtId="0" fontId="11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" fontId="13" fillId="0" borderId="9" xfId="0" applyNumberFormat="1" applyFont="1" applyFill="1" applyBorder="1" applyAlignment="1" applyProtection="1">
      <alignment vertical="center"/>
      <protection locked="0"/>
    </xf>
    <xf numFmtId="0" fontId="7" fillId="34" borderId="9" xfId="0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180" fontId="16" fillId="0" borderId="0" xfId="0" applyNumberFormat="1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80" fontId="17" fillId="0" borderId="9" xfId="0" applyNumberFormat="1" applyFont="1" applyFill="1" applyBorder="1" applyAlignment="1">
      <alignment horizontal="center" vertical="center" wrapText="1"/>
    </xf>
    <xf numFmtId="180" fontId="13" fillId="0" borderId="9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180" fontId="14" fillId="0" borderId="17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0" fontId="13" fillId="0" borderId="9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17" fillId="34" borderId="9" xfId="0" applyFont="1" applyFill="1" applyBorder="1" applyAlignment="1">
      <alignment horizontal="center" vertical="center"/>
    </xf>
    <xf numFmtId="180" fontId="13" fillId="0" borderId="14" xfId="0" applyNumberFormat="1" applyFont="1" applyFill="1" applyBorder="1" applyAlignment="1" applyProtection="1">
      <alignment horizontal="left" vertical="center"/>
      <protection locked="0"/>
    </xf>
    <xf numFmtId="181" fontId="13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right" vertical="center"/>
    </xf>
    <xf numFmtId="1" fontId="14" fillId="0" borderId="9" xfId="0" applyNumberFormat="1" applyFont="1" applyFill="1" applyBorder="1" applyAlignment="1" applyProtection="1">
      <alignment vertical="center"/>
      <protection locked="0"/>
    </xf>
    <xf numFmtId="1" fontId="13" fillId="0" borderId="9" xfId="0" applyNumberFormat="1" applyFont="1" applyFill="1" applyBorder="1" applyAlignment="1" applyProtection="1">
      <alignment horizontal="left" vertical="center"/>
      <protection locked="0"/>
    </xf>
    <xf numFmtId="1" fontId="13" fillId="0" borderId="9" xfId="0" applyNumberFormat="1" applyFont="1" applyFill="1" applyBorder="1" applyAlignment="1" applyProtection="1">
      <alignment horizontal="right" vertical="center"/>
      <protection locked="0"/>
    </xf>
    <xf numFmtId="3" fontId="6" fillId="35" borderId="9" xfId="0" applyNumberFormat="1" applyFont="1" applyFill="1" applyBorder="1" applyAlignment="1" applyProtection="1">
      <alignment horizontal="right" vertical="center"/>
      <protection/>
    </xf>
    <xf numFmtId="0" fontId="13" fillId="0" borderId="9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182" fontId="17" fillId="0" borderId="9" xfId="0" applyNumberFormat="1" applyFont="1" applyFill="1" applyBorder="1" applyAlignment="1">
      <alignment horizontal="center" vertical="center" wrapText="1"/>
    </xf>
    <xf numFmtId="1" fontId="13" fillId="34" borderId="9" xfId="0" applyNumberFormat="1" applyFont="1" applyFill="1" applyBorder="1" applyAlignment="1">
      <alignment vertical="center"/>
    </xf>
    <xf numFmtId="182" fontId="13" fillId="0" borderId="9" xfId="0" applyNumberFormat="1" applyFont="1" applyFill="1" applyBorder="1" applyAlignment="1">
      <alignment vertical="center"/>
    </xf>
    <xf numFmtId="180" fontId="13" fillId="0" borderId="9" xfId="0" applyNumberFormat="1" applyFont="1" applyFill="1" applyBorder="1" applyAlignment="1" applyProtection="1">
      <alignment horizontal="left" vertical="center"/>
      <protection locked="0"/>
    </xf>
    <xf numFmtId="181" fontId="13" fillId="0" borderId="9" xfId="0" applyNumberFormat="1" applyFont="1" applyFill="1" applyBorder="1" applyAlignment="1" applyProtection="1">
      <alignment horizontal="left" vertical="center"/>
      <protection locked="0"/>
    </xf>
    <xf numFmtId="1" fontId="13" fillId="34" borderId="9" xfId="0" applyNumberFormat="1" applyFont="1" applyFill="1" applyBorder="1" applyAlignment="1" applyProtection="1">
      <alignment vertical="center"/>
      <protection locked="0"/>
    </xf>
    <xf numFmtId="0" fontId="13" fillId="34" borderId="9" xfId="0" applyNumberFormat="1" applyFont="1" applyFill="1" applyBorder="1" applyAlignment="1" applyProtection="1">
      <alignment vertical="center"/>
      <protection locked="0"/>
    </xf>
    <xf numFmtId="0" fontId="18" fillId="0" borderId="9" xfId="0" applyFont="1" applyFill="1" applyBorder="1" applyAlignment="1">
      <alignment vertical="center"/>
    </xf>
    <xf numFmtId="0" fontId="18" fillId="34" borderId="9" xfId="0" applyFont="1" applyFill="1" applyBorder="1" applyAlignment="1">
      <alignment vertical="center"/>
    </xf>
    <xf numFmtId="180" fontId="17" fillId="0" borderId="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180" fontId="7" fillId="0" borderId="16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76;&#21439;2017&#24180;&#21439;&#32423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六 (1)"/>
      <sheetName val="表六（2)"/>
      <sheetName val="表七 (1)"/>
      <sheetName val="表七(2)"/>
      <sheetName val="附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zoomScale="85" zoomScaleNormal="85" workbookViewId="0" topLeftCell="A1">
      <pane ySplit="4" topLeftCell="A5" activePane="bottomLeft" state="frozen"/>
      <selection pane="bottomLeft" activeCell="C28" sqref="C28"/>
    </sheetView>
  </sheetViews>
  <sheetFormatPr defaultColWidth="12" defaultRowHeight="11.25"/>
  <cols>
    <col min="1" max="1" width="75.66015625" style="79" customWidth="1"/>
    <col min="2" max="3" width="40.83203125" style="79" customWidth="1"/>
    <col min="4" max="4" width="40.83203125" style="140" customWidth="1"/>
    <col min="5" max="16384" width="12" style="79" customWidth="1"/>
  </cols>
  <sheetData>
    <row r="1" ht="18" customHeight="1">
      <c r="A1" s="126"/>
    </row>
    <row r="2" spans="1:4" s="126" customFormat="1" ht="20.25">
      <c r="A2" s="103" t="s">
        <v>0</v>
      </c>
      <c r="B2" s="103"/>
      <c r="C2" s="103"/>
      <c r="D2" s="142"/>
    </row>
    <row r="3" spans="1:4" ht="20.25" customHeight="1">
      <c r="A3" s="126"/>
      <c r="D3" s="141" t="s">
        <v>1</v>
      </c>
    </row>
    <row r="4" spans="1:4" ht="31.5" customHeight="1">
      <c r="A4" s="146" t="s">
        <v>2</v>
      </c>
      <c r="B4" s="122" t="s">
        <v>3</v>
      </c>
      <c r="C4" s="146" t="s">
        <v>4</v>
      </c>
      <c r="D4" s="183" t="s">
        <v>5</v>
      </c>
    </row>
    <row r="5" spans="1:4" ht="19.5" customHeight="1">
      <c r="A5" s="116" t="s">
        <v>6</v>
      </c>
      <c r="B5" s="116">
        <f>SUM(B6:B20)</f>
        <v>4294</v>
      </c>
      <c r="C5" s="114">
        <f>SUM(C6:C21)</f>
        <v>5101</v>
      </c>
      <c r="D5" s="148">
        <f aca="true" t="shared" si="0" ref="D5:D33">C5/B5*100</f>
        <v>118.79366557987889</v>
      </c>
    </row>
    <row r="6" spans="1:4" ht="19.5" customHeight="1">
      <c r="A6" s="116" t="s">
        <v>7</v>
      </c>
      <c r="B6" s="116">
        <f>814</f>
        <v>814</v>
      </c>
      <c r="C6" s="116">
        <f>2862+131</f>
        <v>2993</v>
      </c>
      <c r="D6" s="148">
        <f t="shared" si="0"/>
        <v>367.6904176904177</v>
      </c>
    </row>
    <row r="7" spans="1:4" ht="19.5" customHeight="1">
      <c r="A7" s="116" t="s">
        <v>8</v>
      </c>
      <c r="B7" s="116">
        <v>2179</v>
      </c>
      <c r="C7" s="116"/>
      <c r="D7" s="148">
        <f t="shared" si="0"/>
        <v>0</v>
      </c>
    </row>
    <row r="8" spans="1:4" ht="19.5" customHeight="1">
      <c r="A8" s="116" t="s">
        <v>9</v>
      </c>
      <c r="B8" s="116">
        <v>329</v>
      </c>
      <c r="C8" s="116">
        <v>372</v>
      </c>
      <c r="D8" s="148">
        <f t="shared" si="0"/>
        <v>113.06990881458967</v>
      </c>
    </row>
    <row r="9" spans="1:4" ht="19.5" customHeight="1">
      <c r="A9" s="116" t="s">
        <v>10</v>
      </c>
      <c r="B9" s="116"/>
      <c r="C9" s="116"/>
      <c r="D9" s="148" t="e">
        <f t="shared" si="0"/>
        <v>#DIV/0!</v>
      </c>
    </row>
    <row r="10" spans="1:4" ht="19.5" customHeight="1">
      <c r="A10" s="116" t="s">
        <v>11</v>
      </c>
      <c r="B10" s="116">
        <v>96</v>
      </c>
      <c r="C10" s="116">
        <v>200</v>
      </c>
      <c r="D10" s="148">
        <f t="shared" si="0"/>
        <v>208.33333333333334</v>
      </c>
    </row>
    <row r="11" spans="1:4" ht="19.5" customHeight="1">
      <c r="A11" s="116" t="s">
        <v>12</v>
      </c>
      <c r="B11" s="116">
        <v>36</v>
      </c>
      <c r="C11" s="116">
        <f>270+66</f>
        <v>336</v>
      </c>
      <c r="D11" s="148">
        <f t="shared" si="0"/>
        <v>933.3333333333334</v>
      </c>
    </row>
    <row r="12" spans="1:4" ht="19.5" customHeight="1">
      <c r="A12" s="116" t="s">
        <v>13</v>
      </c>
      <c r="B12" s="116">
        <v>321</v>
      </c>
      <c r="C12" s="116">
        <v>350</v>
      </c>
      <c r="D12" s="148">
        <f t="shared" si="0"/>
        <v>109.03426791277258</v>
      </c>
    </row>
    <row r="13" spans="1:4" ht="19.5" customHeight="1">
      <c r="A13" s="116" t="s">
        <v>14</v>
      </c>
      <c r="B13" s="116">
        <v>117</v>
      </c>
      <c r="C13" s="116">
        <v>120</v>
      </c>
      <c r="D13" s="148">
        <f t="shared" si="0"/>
        <v>102.56410256410255</v>
      </c>
    </row>
    <row r="14" spans="1:4" ht="19.5" customHeight="1">
      <c r="A14" s="116" t="s">
        <v>15</v>
      </c>
      <c r="B14" s="116">
        <v>44</v>
      </c>
      <c r="C14" s="116">
        <v>50</v>
      </c>
      <c r="D14" s="148">
        <f t="shared" si="0"/>
        <v>113.63636363636364</v>
      </c>
    </row>
    <row r="15" spans="1:4" ht="19.5" customHeight="1">
      <c r="A15" s="116" t="s">
        <v>16</v>
      </c>
      <c r="B15" s="116">
        <v>68</v>
      </c>
      <c r="C15" s="116">
        <v>80</v>
      </c>
      <c r="D15" s="148">
        <f t="shared" si="0"/>
        <v>117.64705882352942</v>
      </c>
    </row>
    <row r="16" spans="1:4" ht="19.5" customHeight="1">
      <c r="A16" s="116" t="s">
        <v>17</v>
      </c>
      <c r="B16" s="116">
        <v>34</v>
      </c>
      <c r="C16" s="116">
        <v>150</v>
      </c>
      <c r="D16" s="148">
        <f t="shared" si="0"/>
        <v>441.1764705882353</v>
      </c>
    </row>
    <row r="17" spans="1:4" ht="19.5" customHeight="1">
      <c r="A17" s="116" t="s">
        <v>18</v>
      </c>
      <c r="B17" s="116">
        <v>99</v>
      </c>
      <c r="C17" s="116">
        <v>100</v>
      </c>
      <c r="D17" s="148">
        <f t="shared" si="0"/>
        <v>101.01010101010101</v>
      </c>
    </row>
    <row r="18" spans="1:4" ht="19.5" customHeight="1">
      <c r="A18" s="116" t="s">
        <v>19</v>
      </c>
      <c r="B18" s="116">
        <v>57</v>
      </c>
      <c r="C18" s="116">
        <v>120</v>
      </c>
      <c r="D18" s="148">
        <f t="shared" si="0"/>
        <v>210.52631578947367</v>
      </c>
    </row>
    <row r="19" spans="1:4" ht="19.5" customHeight="1">
      <c r="A19" s="116" t="s">
        <v>20</v>
      </c>
      <c r="B19" s="116">
        <v>40</v>
      </c>
      <c r="C19" s="116">
        <v>80</v>
      </c>
      <c r="D19" s="148">
        <f t="shared" si="0"/>
        <v>200</v>
      </c>
    </row>
    <row r="20" spans="1:4" ht="19.5" customHeight="1">
      <c r="A20" s="116" t="s">
        <v>21</v>
      </c>
      <c r="B20" s="116">
        <v>60</v>
      </c>
      <c r="C20" s="116">
        <v>150</v>
      </c>
      <c r="D20" s="148">
        <f t="shared" si="0"/>
        <v>250</v>
      </c>
    </row>
    <row r="21" spans="1:4" ht="19.5" customHeight="1">
      <c r="A21" s="116" t="s">
        <v>22</v>
      </c>
      <c r="B21" s="116"/>
      <c r="C21" s="116"/>
      <c r="D21" s="148" t="e">
        <f t="shared" si="0"/>
        <v>#DIV/0!</v>
      </c>
    </row>
    <row r="22" spans="1:4" ht="19.5" customHeight="1">
      <c r="A22" s="116" t="s">
        <v>23</v>
      </c>
      <c r="B22" s="116">
        <f>SUM(B23:B30)</f>
        <v>3067</v>
      </c>
      <c r="C22" s="114">
        <f>SUM(C23:C30)</f>
        <v>2260</v>
      </c>
      <c r="D22" s="148">
        <f t="shared" si="0"/>
        <v>73.68764264753831</v>
      </c>
    </row>
    <row r="23" spans="1:4" ht="19.5" customHeight="1">
      <c r="A23" s="116" t="s">
        <v>24</v>
      </c>
      <c r="B23" s="116">
        <v>387</v>
      </c>
      <c r="C23" s="116">
        <v>387</v>
      </c>
      <c r="D23" s="148">
        <f t="shared" si="0"/>
        <v>100</v>
      </c>
    </row>
    <row r="24" spans="1:4" ht="19.5" customHeight="1">
      <c r="A24" s="116" t="s">
        <v>25</v>
      </c>
      <c r="B24" s="116">
        <v>464</v>
      </c>
      <c r="C24" s="116">
        <v>464</v>
      </c>
      <c r="D24" s="148">
        <f t="shared" si="0"/>
        <v>100</v>
      </c>
    </row>
    <row r="25" spans="1:4" ht="19.5" customHeight="1">
      <c r="A25" s="116" t="s">
        <v>26</v>
      </c>
      <c r="B25" s="116">
        <v>302</v>
      </c>
      <c r="C25" s="116">
        <v>302</v>
      </c>
      <c r="D25" s="148">
        <f t="shared" si="0"/>
        <v>100</v>
      </c>
    </row>
    <row r="26" spans="1:4" ht="19.5" customHeight="1">
      <c r="A26" s="116" t="s">
        <v>27</v>
      </c>
      <c r="B26" s="116"/>
      <c r="C26" s="116"/>
      <c r="D26" s="148" t="e">
        <f t="shared" si="0"/>
        <v>#DIV/0!</v>
      </c>
    </row>
    <row r="27" spans="1:4" ht="19.5" customHeight="1">
      <c r="A27" s="116" t="s">
        <v>28</v>
      </c>
      <c r="B27" s="116">
        <v>1912</v>
      </c>
      <c r="C27" s="116">
        <f>1047+60</f>
        <v>1107</v>
      </c>
      <c r="D27" s="148">
        <f t="shared" si="0"/>
        <v>57.89748953974896</v>
      </c>
    </row>
    <row r="28" spans="1:4" ht="19.5" customHeight="1">
      <c r="A28" s="116" t="s">
        <v>29</v>
      </c>
      <c r="B28" s="116">
        <v>2</v>
      </c>
      <c r="C28" s="116"/>
      <c r="D28" s="148">
        <f t="shared" si="0"/>
        <v>0</v>
      </c>
    </row>
    <row r="29" spans="1:4" s="172" customFormat="1" ht="19.5" customHeight="1">
      <c r="A29" s="116" t="s">
        <v>30</v>
      </c>
      <c r="B29" s="181"/>
      <c r="C29" s="181"/>
      <c r="D29" s="148" t="e">
        <f t="shared" si="0"/>
        <v>#DIV/0!</v>
      </c>
    </row>
    <row r="30" spans="1:4" s="172" customFormat="1" ht="19.5" customHeight="1">
      <c r="A30" s="116" t="s">
        <v>31</v>
      </c>
      <c r="B30" s="181"/>
      <c r="C30" s="181"/>
      <c r="D30" s="148" t="e">
        <f t="shared" si="0"/>
        <v>#DIV/0!</v>
      </c>
    </row>
    <row r="31" spans="1:4" s="172" customFormat="1" ht="19.5" customHeight="1">
      <c r="A31" s="116" t="s">
        <v>32</v>
      </c>
      <c r="B31" s="181"/>
      <c r="C31" s="181"/>
      <c r="D31" s="148" t="e">
        <f t="shared" si="0"/>
        <v>#DIV/0!</v>
      </c>
    </row>
    <row r="32" spans="1:4" ht="19.5" customHeight="1">
      <c r="A32" s="116" t="s">
        <v>32</v>
      </c>
      <c r="B32" s="116"/>
      <c r="C32" s="116"/>
      <c r="D32" s="148" t="e">
        <f t="shared" si="0"/>
        <v>#DIV/0!</v>
      </c>
    </row>
    <row r="33" spans="1:4" ht="19.5" customHeight="1">
      <c r="A33" s="118" t="s">
        <v>33</v>
      </c>
      <c r="B33" s="116">
        <f>B5+B22</f>
        <v>7361</v>
      </c>
      <c r="C33" s="114">
        <f>SUM(C5,C22)</f>
        <v>7361</v>
      </c>
      <c r="D33" s="148">
        <f t="shared" si="0"/>
        <v>100</v>
      </c>
    </row>
    <row r="34" spans="1:4" ht="18.75" customHeight="1">
      <c r="A34" s="184" t="s">
        <v>32</v>
      </c>
      <c r="B34" s="184"/>
      <c r="C34" s="184"/>
      <c r="D34" s="185"/>
    </row>
    <row r="35" ht="19.5" customHeight="1"/>
    <row r="36" ht="19.5" customHeight="1"/>
    <row r="37" ht="19.5" customHeight="1"/>
    <row r="38" ht="19.5" customHeight="1"/>
  </sheetData>
  <sheetProtection/>
  <mergeCells count="2">
    <mergeCell ref="A2:D2"/>
    <mergeCell ref="A34:D34"/>
  </mergeCells>
  <printOptions horizontalCentered="1"/>
  <pageMargins left="0.47" right="0.47" top="0.2" bottom="0.08" header="0" footer="0"/>
  <pageSetup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="85" zoomScaleNormal="85" zoomScaleSheetLayoutView="100" workbookViewId="0" topLeftCell="A1">
      <selection activeCell="A1" sqref="A1:P1"/>
    </sheetView>
  </sheetViews>
  <sheetFormatPr defaultColWidth="12" defaultRowHeight="11.25"/>
  <cols>
    <col min="1" max="1" width="47.66015625" style="80" bestFit="1" customWidth="1"/>
    <col min="2" max="2" width="6.33203125" style="81" bestFit="1" customWidth="1"/>
    <col min="3" max="8" width="10.16015625" style="80" customWidth="1"/>
    <col min="9" max="9" width="42.16015625" style="80" bestFit="1" customWidth="1"/>
    <col min="10" max="10" width="6.33203125" style="81" bestFit="1" customWidth="1"/>
    <col min="11" max="16" width="10.16015625" style="80" customWidth="1"/>
    <col min="17" max="16384" width="12" style="80" customWidth="1"/>
  </cols>
  <sheetData>
    <row r="1" spans="1:16" s="79" customFormat="1" ht="24.75" customHeight="1">
      <c r="A1" s="82" t="s">
        <v>1360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s="79" customFormat="1" ht="24.75" customHeight="1">
      <c r="B2" s="83"/>
      <c r="J2" s="83"/>
      <c r="P2" s="99"/>
    </row>
    <row r="3" spans="1:16" s="79" customFormat="1" ht="24" customHeight="1">
      <c r="A3" s="84" t="s">
        <v>1361</v>
      </c>
      <c r="B3" s="85"/>
      <c r="C3" s="84"/>
      <c r="D3" s="84"/>
      <c r="E3" s="84"/>
      <c r="F3" s="84"/>
      <c r="G3" s="84"/>
      <c r="J3" s="85"/>
      <c r="P3" s="99" t="s">
        <v>1362</v>
      </c>
    </row>
    <row r="4" spans="1:16" ht="27" customHeight="1">
      <c r="A4" s="86" t="s">
        <v>1363</v>
      </c>
      <c r="B4" s="87"/>
      <c r="C4" s="87"/>
      <c r="D4" s="87"/>
      <c r="E4" s="87"/>
      <c r="F4" s="87"/>
      <c r="G4" s="87"/>
      <c r="H4" s="88"/>
      <c r="I4" s="86" t="s">
        <v>1364</v>
      </c>
      <c r="J4" s="87"/>
      <c r="K4" s="87"/>
      <c r="L4" s="87"/>
      <c r="M4" s="87"/>
      <c r="N4" s="87"/>
      <c r="O4" s="87"/>
      <c r="P4" s="88"/>
    </row>
    <row r="5" spans="1:16" ht="27" customHeight="1">
      <c r="A5" s="64" t="s">
        <v>1365</v>
      </c>
      <c r="B5" s="64" t="s">
        <v>1366</v>
      </c>
      <c r="C5" s="89" t="s">
        <v>1367</v>
      </c>
      <c r="D5" s="90"/>
      <c r="E5" s="91"/>
      <c r="F5" s="89" t="s">
        <v>1368</v>
      </c>
      <c r="G5" s="90"/>
      <c r="H5" s="91"/>
      <c r="I5" s="64" t="s">
        <v>1365</v>
      </c>
      <c r="J5" s="64" t="s">
        <v>1366</v>
      </c>
      <c r="K5" s="89" t="s">
        <v>1367</v>
      </c>
      <c r="L5" s="90"/>
      <c r="M5" s="91"/>
      <c r="N5" s="89" t="s">
        <v>1368</v>
      </c>
      <c r="O5" s="90"/>
      <c r="P5" s="91"/>
    </row>
    <row r="6" spans="1:16" ht="36.75" customHeight="1">
      <c r="A6" s="92"/>
      <c r="B6" s="92"/>
      <c r="C6" s="62" t="s">
        <v>1132</v>
      </c>
      <c r="D6" s="62" t="s">
        <v>1369</v>
      </c>
      <c r="E6" s="93" t="s">
        <v>1370</v>
      </c>
      <c r="F6" s="62" t="s">
        <v>1132</v>
      </c>
      <c r="G6" s="62" t="s">
        <v>1369</v>
      </c>
      <c r="H6" s="93" t="s">
        <v>1370</v>
      </c>
      <c r="I6" s="92"/>
      <c r="J6" s="92"/>
      <c r="K6" s="62" t="s">
        <v>1132</v>
      </c>
      <c r="L6" s="62" t="s">
        <v>1369</v>
      </c>
      <c r="M6" s="93" t="s">
        <v>1370</v>
      </c>
      <c r="N6" s="62" t="s">
        <v>1132</v>
      </c>
      <c r="O6" s="62" t="s">
        <v>1369</v>
      </c>
      <c r="P6" s="93" t="s">
        <v>1370</v>
      </c>
    </row>
    <row r="7" spans="1:16" ht="27" customHeight="1">
      <c r="A7" s="92" t="s">
        <v>1371</v>
      </c>
      <c r="B7" s="92"/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92" t="s">
        <v>1371</v>
      </c>
      <c r="J7" s="92"/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</row>
    <row r="8" spans="1:16" ht="27" customHeight="1">
      <c r="A8" s="94" t="s">
        <v>1372</v>
      </c>
      <c r="B8" s="62">
        <v>1</v>
      </c>
      <c r="C8" s="94"/>
      <c r="D8" s="94"/>
      <c r="E8" s="94"/>
      <c r="F8" s="94"/>
      <c r="G8" s="94"/>
      <c r="H8" s="94"/>
      <c r="I8" s="100" t="s">
        <v>1373</v>
      </c>
      <c r="J8" s="62">
        <v>12</v>
      </c>
      <c r="K8" s="94"/>
      <c r="L8" s="94"/>
      <c r="M8" s="94"/>
      <c r="N8" s="94"/>
      <c r="O8" s="94"/>
      <c r="P8" s="94"/>
    </row>
    <row r="9" spans="1:16" ht="27" customHeight="1">
      <c r="A9" s="94" t="s">
        <v>1374</v>
      </c>
      <c r="B9" s="62">
        <v>2</v>
      </c>
      <c r="C9" s="94"/>
      <c r="D9" s="94"/>
      <c r="E9" s="94"/>
      <c r="F9" s="94"/>
      <c r="G9" s="94"/>
      <c r="H9" s="94"/>
      <c r="I9" s="94" t="s">
        <v>1375</v>
      </c>
      <c r="J9" s="62">
        <v>13</v>
      </c>
      <c r="K9" s="94"/>
      <c r="L9" s="94"/>
      <c r="M9" s="94"/>
      <c r="N9" s="94"/>
      <c r="O9" s="94"/>
      <c r="P9" s="94"/>
    </row>
    <row r="10" spans="1:16" ht="27" customHeight="1">
      <c r="A10" s="94" t="s">
        <v>1376</v>
      </c>
      <c r="B10" s="62">
        <v>3</v>
      </c>
      <c r="C10" s="94"/>
      <c r="D10" s="94"/>
      <c r="E10" s="94"/>
      <c r="F10" s="94"/>
      <c r="G10" s="94"/>
      <c r="H10" s="94"/>
      <c r="I10" s="94" t="s">
        <v>1377</v>
      </c>
      <c r="J10" s="62">
        <v>14</v>
      </c>
      <c r="K10" s="94"/>
      <c r="L10" s="94"/>
      <c r="M10" s="94"/>
      <c r="N10" s="94"/>
      <c r="O10" s="94"/>
      <c r="P10" s="94"/>
    </row>
    <row r="11" spans="1:16" ht="27" customHeight="1">
      <c r="A11" s="94" t="s">
        <v>1378</v>
      </c>
      <c r="B11" s="62">
        <v>4</v>
      </c>
      <c r="C11" s="94"/>
      <c r="D11" s="94"/>
      <c r="E11" s="94"/>
      <c r="F11" s="94"/>
      <c r="G11" s="94"/>
      <c r="H11" s="94"/>
      <c r="I11" s="94" t="s">
        <v>1379</v>
      </c>
      <c r="J11" s="62">
        <v>15</v>
      </c>
      <c r="K11" s="94"/>
      <c r="L11" s="94"/>
      <c r="M11" s="94"/>
      <c r="N11" s="94"/>
      <c r="O11" s="94"/>
      <c r="P11" s="94"/>
    </row>
    <row r="12" spans="1:16" ht="27" customHeight="1">
      <c r="A12" s="95" t="s">
        <v>1380</v>
      </c>
      <c r="B12" s="62">
        <v>5</v>
      </c>
      <c r="C12" s="62"/>
      <c r="D12" s="62"/>
      <c r="E12" s="62"/>
      <c r="F12" s="62"/>
      <c r="G12" s="62"/>
      <c r="H12" s="94"/>
      <c r="I12" s="94" t="s">
        <v>1381</v>
      </c>
      <c r="J12" s="62">
        <v>16</v>
      </c>
      <c r="K12" s="94"/>
      <c r="L12" s="94"/>
      <c r="M12" s="94"/>
      <c r="N12" s="94"/>
      <c r="O12" s="94"/>
      <c r="P12" s="94"/>
    </row>
    <row r="13" spans="1:16" ht="27" customHeight="1">
      <c r="A13" s="95" t="s">
        <v>1382</v>
      </c>
      <c r="B13" s="62">
        <v>6</v>
      </c>
      <c r="C13" s="62"/>
      <c r="D13" s="62"/>
      <c r="E13" s="62"/>
      <c r="F13" s="62"/>
      <c r="G13" s="62"/>
      <c r="H13" s="94"/>
      <c r="I13" s="95" t="s">
        <v>1383</v>
      </c>
      <c r="J13" s="62">
        <v>17</v>
      </c>
      <c r="K13" s="62"/>
      <c r="L13" s="62"/>
      <c r="M13" s="62" t="s">
        <v>1384</v>
      </c>
      <c r="N13" s="62"/>
      <c r="O13" s="62"/>
      <c r="P13" s="62" t="s">
        <v>1384</v>
      </c>
    </row>
    <row r="14" spans="1:16" ht="27" customHeight="1">
      <c r="A14" s="96"/>
      <c r="B14" s="62">
        <v>7</v>
      </c>
      <c r="C14" s="96"/>
      <c r="D14" s="96"/>
      <c r="E14" s="96"/>
      <c r="F14" s="96"/>
      <c r="G14" s="96"/>
      <c r="H14" s="96"/>
      <c r="I14" s="94" t="s">
        <v>1385</v>
      </c>
      <c r="J14" s="62">
        <v>18</v>
      </c>
      <c r="K14" s="94"/>
      <c r="L14" s="94"/>
      <c r="M14" s="94"/>
      <c r="N14" s="94"/>
      <c r="O14" s="94"/>
      <c r="P14" s="94"/>
    </row>
    <row r="15" spans="1:16" ht="27" customHeight="1">
      <c r="A15" s="62"/>
      <c r="B15" s="62">
        <v>8</v>
      </c>
      <c r="C15" s="62"/>
      <c r="D15" s="62"/>
      <c r="E15" s="62"/>
      <c r="F15" s="62"/>
      <c r="G15" s="62"/>
      <c r="H15" s="94"/>
      <c r="I15" s="94"/>
      <c r="J15" s="62">
        <v>19</v>
      </c>
      <c r="K15" s="94"/>
      <c r="L15" s="94"/>
      <c r="M15" s="94"/>
      <c r="N15" s="94"/>
      <c r="O15" s="94"/>
      <c r="P15" s="94"/>
    </row>
    <row r="16" spans="1:16" ht="27" customHeight="1">
      <c r="A16" s="62" t="s">
        <v>1386</v>
      </c>
      <c r="B16" s="62">
        <v>9</v>
      </c>
      <c r="C16" s="62"/>
      <c r="D16" s="62"/>
      <c r="E16" s="62"/>
      <c r="F16" s="62"/>
      <c r="G16" s="62"/>
      <c r="H16" s="94"/>
      <c r="I16" s="62" t="s">
        <v>1387</v>
      </c>
      <c r="J16" s="62">
        <v>20</v>
      </c>
      <c r="K16" s="62"/>
      <c r="L16" s="62"/>
      <c r="M16" s="62"/>
      <c r="N16" s="94"/>
      <c r="O16" s="94"/>
      <c r="P16" s="94"/>
    </row>
    <row r="17" spans="1:16" ht="27" customHeight="1">
      <c r="A17" s="95" t="s">
        <v>1229</v>
      </c>
      <c r="B17" s="62">
        <v>10</v>
      </c>
      <c r="C17" s="94"/>
      <c r="D17" s="94"/>
      <c r="E17" s="94"/>
      <c r="F17" s="94"/>
      <c r="G17" s="94"/>
      <c r="H17" s="94"/>
      <c r="I17" s="94" t="s">
        <v>1388</v>
      </c>
      <c r="J17" s="62">
        <v>21</v>
      </c>
      <c r="K17" s="94"/>
      <c r="L17" s="94"/>
      <c r="M17" s="94"/>
      <c r="N17" s="62"/>
      <c r="O17" s="62"/>
      <c r="P17" s="62"/>
    </row>
    <row r="18" spans="1:16" ht="27" customHeight="1">
      <c r="A18" s="62" t="s">
        <v>1389</v>
      </c>
      <c r="B18" s="62">
        <v>11</v>
      </c>
      <c r="C18" s="62"/>
      <c r="D18" s="62"/>
      <c r="E18" s="62"/>
      <c r="F18" s="62"/>
      <c r="G18" s="62"/>
      <c r="H18" s="94"/>
      <c r="I18" s="62" t="s">
        <v>1390</v>
      </c>
      <c r="J18" s="62">
        <v>22</v>
      </c>
      <c r="K18" s="62"/>
      <c r="L18" s="62"/>
      <c r="M18" s="62"/>
      <c r="N18" s="62"/>
      <c r="O18" s="62"/>
      <c r="P18" s="94"/>
    </row>
    <row r="19" spans="1:16" ht="14.25">
      <c r="A19" s="97" t="s">
        <v>1391</v>
      </c>
      <c r="B19" s="98"/>
      <c r="C19" s="97"/>
      <c r="D19" s="97"/>
      <c r="E19" s="97"/>
      <c r="F19" s="79"/>
      <c r="G19" s="79"/>
      <c r="H19" s="79"/>
      <c r="I19" s="79"/>
      <c r="J19" s="98"/>
      <c r="K19" s="79"/>
      <c r="L19" s="79"/>
      <c r="M19" s="79"/>
      <c r="N19" s="79"/>
      <c r="O19" s="79"/>
      <c r="P19" s="79"/>
    </row>
  </sheetData>
  <sheetProtection/>
  <mergeCells count="11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 horizontalCentered="1" verticalCentered="1"/>
  <pageMargins left="0.55" right="0.35" top="0.79" bottom="0.79" header="0.51" footer="0.51"/>
  <pageSetup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A2" sqref="A2:E2"/>
    </sheetView>
  </sheetViews>
  <sheetFormatPr defaultColWidth="12" defaultRowHeight="11.25"/>
  <cols>
    <col min="1" max="1" width="44.83203125" style="68" customWidth="1"/>
    <col min="2" max="2" width="28.83203125" style="68" customWidth="1"/>
    <col min="3" max="3" width="32" style="68" customWidth="1"/>
    <col min="4" max="4" width="26.5" style="68" customWidth="1"/>
    <col min="5" max="5" width="27.5" style="68" customWidth="1"/>
    <col min="6" max="16384" width="12" style="68" customWidth="1"/>
  </cols>
  <sheetData>
    <row r="1" s="68" customFormat="1" ht="33" customHeight="1">
      <c r="A1" s="71"/>
    </row>
    <row r="2" spans="1:5" s="68" customFormat="1" ht="35.25" customHeight="1">
      <c r="A2" s="72" t="s">
        <v>1392</v>
      </c>
      <c r="B2" s="72"/>
      <c r="C2" s="72"/>
      <c r="D2" s="72"/>
      <c r="E2" s="72"/>
    </row>
    <row r="3" spans="1:5" s="68" customFormat="1" ht="23.25" customHeight="1">
      <c r="A3" s="68" t="s">
        <v>1393</v>
      </c>
      <c r="E3" s="68" t="s">
        <v>1</v>
      </c>
    </row>
    <row r="4" spans="1:5" s="69" customFormat="1" ht="63.75" customHeight="1">
      <c r="A4" s="73" t="s">
        <v>1394</v>
      </c>
      <c r="B4" s="74" t="s">
        <v>1395</v>
      </c>
      <c r="C4" s="75" t="s">
        <v>1396</v>
      </c>
      <c r="D4" s="74" t="s">
        <v>1397</v>
      </c>
      <c r="E4" s="74" t="s">
        <v>1398</v>
      </c>
    </row>
    <row r="5" spans="1:5" s="70" customFormat="1" ht="57" customHeight="1">
      <c r="A5" s="76" t="s">
        <v>1399</v>
      </c>
      <c r="B5" s="77">
        <v>2178</v>
      </c>
      <c r="C5" s="77">
        <v>91.4</v>
      </c>
      <c r="D5" s="77">
        <v>7412.86</v>
      </c>
      <c r="E5" s="78">
        <f aca="true" t="shared" si="0" ref="E5:E8">B5-D5</f>
        <v>-5234.86</v>
      </c>
    </row>
    <row r="6" spans="1:5" s="70" customFormat="1" ht="57" customHeight="1">
      <c r="A6" s="76" t="s">
        <v>1400</v>
      </c>
      <c r="B6" s="78">
        <v>2009.47</v>
      </c>
      <c r="C6" s="78">
        <v>1359.55</v>
      </c>
      <c r="D6" s="78">
        <v>1315.22</v>
      </c>
      <c r="E6" s="78">
        <f t="shared" si="0"/>
        <v>694.25</v>
      </c>
    </row>
    <row r="7" spans="1:5" s="70" customFormat="1" ht="57" customHeight="1">
      <c r="A7" s="76" t="s">
        <v>1401</v>
      </c>
      <c r="B7" s="78">
        <v>4464.86</v>
      </c>
      <c r="C7" s="78">
        <v>3358.55</v>
      </c>
      <c r="D7" s="78">
        <v>4320.12</v>
      </c>
      <c r="E7" s="78">
        <f t="shared" si="0"/>
        <v>144.73999999999978</v>
      </c>
    </row>
    <row r="8" spans="1:5" s="70" customFormat="1" ht="57" customHeight="1">
      <c r="A8" s="76" t="s">
        <v>1402</v>
      </c>
      <c r="B8" s="78">
        <v>39839.67</v>
      </c>
      <c r="C8" s="78">
        <v>12000</v>
      </c>
      <c r="D8" s="78">
        <v>38537.14</v>
      </c>
      <c r="E8" s="78">
        <f t="shared" si="0"/>
        <v>1302.5299999999988</v>
      </c>
    </row>
    <row r="9" spans="1:5" s="70" customFormat="1" ht="57" customHeight="1">
      <c r="A9" s="76" t="s">
        <v>1403</v>
      </c>
      <c r="B9" s="78">
        <f>SUM(B5:B7)</f>
        <v>8652.33</v>
      </c>
      <c r="C9" s="78">
        <f>SUM(C5:C7)</f>
        <v>4809.5</v>
      </c>
      <c r="D9" s="78">
        <f>SUM(D5:D7)</f>
        <v>13048.2</v>
      </c>
      <c r="E9" s="78">
        <f>SUM(E5:E7)</f>
        <v>-4395.87</v>
      </c>
    </row>
    <row r="20" s="68" customFormat="1" ht="14.25">
      <c r="D20" s="68" t="s">
        <v>1404</v>
      </c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50.83203125" style="0" customWidth="1"/>
    <col min="2" max="2" width="34.83203125" style="0" customWidth="1"/>
    <col min="3" max="3" width="53.66015625" style="0" customWidth="1"/>
  </cols>
  <sheetData>
    <row r="1" ht="12.75" customHeight="1">
      <c r="A1" s="51"/>
    </row>
    <row r="2" spans="1:3" ht="34.5" customHeight="1">
      <c r="A2" s="58" t="s">
        <v>1405</v>
      </c>
      <c r="B2" s="59"/>
      <c r="C2" s="58"/>
    </row>
    <row r="3" spans="1:3" ht="21" customHeight="1">
      <c r="A3" s="60"/>
      <c r="B3" s="60"/>
      <c r="C3" s="61" t="s">
        <v>1406</v>
      </c>
    </row>
    <row r="4" spans="1:3" ht="22.5" customHeight="1">
      <c r="A4" s="62" t="s">
        <v>1407</v>
      </c>
      <c r="B4" s="62" t="s">
        <v>4</v>
      </c>
      <c r="C4" s="63" t="s">
        <v>36</v>
      </c>
    </row>
    <row r="5" spans="1:3" ht="19.5" customHeight="1">
      <c r="A5" s="64" t="s">
        <v>1408</v>
      </c>
      <c r="B5" s="64">
        <v>1</v>
      </c>
      <c r="C5" s="64">
        <v>2</v>
      </c>
    </row>
    <row r="6" spans="1:5" ht="19.5" customHeight="1">
      <c r="A6" s="49" t="s">
        <v>1132</v>
      </c>
      <c r="B6" s="65">
        <v>459739009</v>
      </c>
      <c r="C6" s="66"/>
      <c r="D6" s="67"/>
      <c r="E6" s="51"/>
    </row>
    <row r="7" spans="1:5" ht="19.5" customHeight="1">
      <c r="A7" s="49" t="s">
        <v>1145</v>
      </c>
      <c r="B7" s="65">
        <v>289923004</v>
      </c>
      <c r="C7" s="66"/>
      <c r="E7" s="51"/>
    </row>
    <row r="8" spans="1:5" ht="19.5" customHeight="1">
      <c r="A8" s="49" t="s">
        <v>1409</v>
      </c>
      <c r="B8" s="65">
        <v>153033155</v>
      </c>
      <c r="C8" s="66"/>
      <c r="D8" s="51"/>
      <c r="E8" s="51"/>
    </row>
    <row r="9" spans="1:5" ht="19.5" customHeight="1">
      <c r="A9" s="49" t="s">
        <v>1410</v>
      </c>
      <c r="B9" s="65">
        <v>111386918</v>
      </c>
      <c r="C9" s="66"/>
      <c r="D9" s="51"/>
      <c r="E9" s="51"/>
    </row>
    <row r="10" spans="1:4" ht="19.5" customHeight="1">
      <c r="A10" s="49" t="s">
        <v>1411</v>
      </c>
      <c r="B10" s="65">
        <v>15536815</v>
      </c>
      <c r="C10" s="66"/>
      <c r="D10" s="51"/>
    </row>
    <row r="11" spans="1:4" ht="19.5" customHeight="1">
      <c r="A11" s="49" t="s">
        <v>1412</v>
      </c>
      <c r="B11" s="65">
        <v>9892056</v>
      </c>
      <c r="C11" s="66"/>
      <c r="D11" s="51"/>
    </row>
    <row r="12" spans="1:5" ht="19.5" customHeight="1">
      <c r="A12" s="49" t="s">
        <v>1413</v>
      </c>
      <c r="B12" s="65">
        <v>74060</v>
      </c>
      <c r="C12" s="66"/>
      <c r="D12" s="51"/>
      <c r="E12" s="51"/>
    </row>
    <row r="13" spans="1:5" ht="19.5" customHeight="1">
      <c r="A13" s="49" t="s">
        <v>1146</v>
      </c>
      <c r="B13" s="65">
        <v>13577600</v>
      </c>
      <c r="C13" s="66"/>
      <c r="D13" s="51"/>
      <c r="E13" s="51"/>
    </row>
    <row r="14" spans="1:5" ht="19.5" customHeight="1">
      <c r="A14" s="49" t="s">
        <v>1414</v>
      </c>
      <c r="B14" s="65">
        <v>1190259</v>
      </c>
      <c r="C14" s="66"/>
      <c r="D14" s="51"/>
      <c r="E14" s="51"/>
    </row>
    <row r="15" spans="1:6" ht="19.5" customHeight="1">
      <c r="A15" s="49" t="s">
        <v>1415</v>
      </c>
      <c r="B15" s="65">
        <v>836288</v>
      </c>
      <c r="C15" s="66"/>
      <c r="D15" s="51"/>
      <c r="F15" s="51"/>
    </row>
    <row r="16" spans="1:6" ht="19.5" customHeight="1">
      <c r="A16" s="49" t="s">
        <v>1416</v>
      </c>
      <c r="B16" s="65">
        <v>5800</v>
      </c>
      <c r="C16" s="66"/>
      <c r="F16" s="51"/>
    </row>
    <row r="17" spans="1:7" ht="19.5" customHeight="1">
      <c r="A17" s="49" t="s">
        <v>1417</v>
      </c>
      <c r="B17" s="65">
        <v>8500</v>
      </c>
      <c r="C17" s="66"/>
      <c r="D17" s="51"/>
      <c r="G17" s="51"/>
    </row>
    <row r="18" spans="1:4" ht="19.5" customHeight="1">
      <c r="A18" s="49" t="s">
        <v>1418</v>
      </c>
      <c r="B18" s="65">
        <v>207564</v>
      </c>
      <c r="C18" s="66"/>
      <c r="D18" s="51"/>
    </row>
    <row r="19" spans="1:4" ht="19.5" customHeight="1">
      <c r="A19" s="49" t="s">
        <v>1419</v>
      </c>
      <c r="B19" s="65">
        <v>604160</v>
      </c>
      <c r="C19" s="66"/>
      <c r="D19" s="51"/>
    </row>
    <row r="20" spans="1:3" ht="19.5" customHeight="1">
      <c r="A20" s="49" t="s">
        <v>1420</v>
      </c>
      <c r="B20" s="65">
        <v>185240</v>
      </c>
      <c r="C20" s="66"/>
    </row>
    <row r="21" spans="1:3" ht="19.5" customHeight="1">
      <c r="A21" s="49" t="s">
        <v>1421</v>
      </c>
      <c r="B21" s="65">
        <v>157800</v>
      </c>
      <c r="C21" s="66"/>
    </row>
    <row r="22" spans="1:3" ht="19.5" customHeight="1">
      <c r="A22" s="49" t="s">
        <v>1422</v>
      </c>
      <c r="B22" s="65">
        <v>9000</v>
      </c>
      <c r="C22" s="66"/>
    </row>
    <row r="23" spans="1:3" ht="19.5" customHeight="1">
      <c r="A23" s="49" t="s">
        <v>1423</v>
      </c>
      <c r="B23" s="65">
        <v>770121</v>
      </c>
      <c r="C23" s="66"/>
    </row>
    <row r="24" spans="1:3" ht="19.5" customHeight="1">
      <c r="A24" s="49" t="s">
        <v>1424</v>
      </c>
      <c r="B24" s="65">
        <v>579893</v>
      </c>
      <c r="C24" s="66"/>
    </row>
    <row r="25" spans="1:3" ht="19.5" customHeight="1">
      <c r="A25" s="49" t="s">
        <v>1425</v>
      </c>
      <c r="B25" s="65">
        <v>108500</v>
      </c>
      <c r="C25" s="66"/>
    </row>
    <row r="26" spans="1:3" ht="19.5" customHeight="1">
      <c r="A26" s="49" t="s">
        <v>1426</v>
      </c>
      <c r="B26" s="65">
        <v>24500</v>
      </c>
      <c r="C26" s="66"/>
    </row>
    <row r="27" spans="1:3" ht="19.5" customHeight="1">
      <c r="A27" s="49" t="s">
        <v>1427</v>
      </c>
      <c r="B27" s="65">
        <v>197760</v>
      </c>
      <c r="C27" s="66"/>
    </row>
    <row r="28" spans="1:3" ht="19.5" customHeight="1">
      <c r="A28" s="49" t="s">
        <v>1428</v>
      </c>
      <c r="B28" s="65">
        <v>42845</v>
      </c>
      <c r="C28" s="66"/>
    </row>
    <row r="29" spans="1:3" ht="19.5" customHeight="1">
      <c r="A29" s="49" t="s">
        <v>1429</v>
      </c>
      <c r="B29" s="65">
        <v>127720</v>
      </c>
      <c r="C29" s="66"/>
    </row>
    <row r="30" spans="1:3" ht="19.5" customHeight="1">
      <c r="A30" s="49" t="s">
        <v>1430</v>
      </c>
      <c r="B30" s="65">
        <v>1009000</v>
      </c>
      <c r="C30" s="66"/>
    </row>
    <row r="31" spans="1:3" ht="19.5" customHeight="1">
      <c r="A31" s="49" t="s">
        <v>1431</v>
      </c>
      <c r="B31" s="65">
        <v>1120000</v>
      </c>
      <c r="C31" s="66"/>
    </row>
    <row r="32" spans="1:3" ht="19.5" customHeight="1">
      <c r="A32" s="49" t="s">
        <v>1432</v>
      </c>
      <c r="B32" s="65">
        <v>6119000</v>
      </c>
      <c r="C32" s="66"/>
    </row>
    <row r="33" spans="1:3" ht="19.5" customHeight="1">
      <c r="A33" s="49" t="s">
        <v>1433</v>
      </c>
      <c r="B33" s="65">
        <v>273650</v>
      </c>
      <c r="C33" s="66"/>
    </row>
    <row r="34" spans="1:3" ht="19.5" customHeight="1">
      <c r="A34" s="49" t="s">
        <v>1147</v>
      </c>
      <c r="B34" s="65">
        <v>156018405</v>
      </c>
      <c r="C34" s="66"/>
    </row>
    <row r="35" spans="1:3" ht="19.5" customHeight="1">
      <c r="A35" s="49" t="s">
        <v>1434</v>
      </c>
      <c r="B35" s="65">
        <v>362628</v>
      </c>
      <c r="C35" s="66"/>
    </row>
    <row r="36" spans="1:3" ht="19.5" customHeight="1">
      <c r="A36" s="49" t="s">
        <v>1435</v>
      </c>
      <c r="B36" s="65">
        <v>142158115</v>
      </c>
      <c r="C36" s="66"/>
    </row>
    <row r="37" spans="1:3" ht="19.5" customHeight="1">
      <c r="A37" s="49" t="s">
        <v>1436</v>
      </c>
      <c r="B37" s="65">
        <v>1735496</v>
      </c>
      <c r="C37" s="66"/>
    </row>
    <row r="38" spans="1:3" ht="19.5" customHeight="1">
      <c r="A38" s="49" t="s">
        <v>1437</v>
      </c>
      <c r="B38" s="65">
        <v>11721750</v>
      </c>
      <c r="C38" s="66"/>
    </row>
    <row r="39" spans="1:3" ht="19.5" customHeight="1">
      <c r="A39" s="49" t="s">
        <v>1437</v>
      </c>
      <c r="B39" s="65">
        <v>9600</v>
      </c>
      <c r="C39" s="66"/>
    </row>
    <row r="40" spans="1:3" ht="19.5" customHeight="1">
      <c r="A40" s="49" t="s">
        <v>1438</v>
      </c>
      <c r="B40" s="65">
        <v>30816</v>
      </c>
      <c r="C40" s="66"/>
    </row>
    <row r="41" spans="1:3" ht="19.5" customHeight="1">
      <c r="A41" s="49" t="s">
        <v>1151</v>
      </c>
      <c r="B41" s="65">
        <v>220000</v>
      </c>
      <c r="C41" s="66"/>
    </row>
    <row r="42" spans="1:3" ht="19.5" customHeight="1">
      <c r="A42" s="49" t="s">
        <v>1439</v>
      </c>
      <c r="B42" s="65">
        <v>220000</v>
      </c>
      <c r="C42" s="66"/>
    </row>
  </sheetData>
  <sheetProtection/>
  <printOptions horizontalCentered="1"/>
  <pageMargins left="1" right="1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17.33203125" style="0" customWidth="1"/>
    <col min="2" max="2" width="39.66015625" style="0" customWidth="1"/>
    <col min="3" max="3" width="18.16015625" style="0" customWidth="1"/>
    <col min="4" max="5" width="15.33203125" style="0" customWidth="1"/>
    <col min="6" max="6" width="12" style="0" customWidth="1"/>
    <col min="7" max="7" width="17" style="0" customWidth="1"/>
    <col min="8" max="8" width="18" style="0" customWidth="1"/>
    <col min="9" max="9" width="16.33203125" style="0" customWidth="1"/>
    <col min="10" max="10" width="12.5" style="0" customWidth="1"/>
    <col min="11" max="11" width="9.16015625" style="0" customWidth="1"/>
    <col min="12" max="15" width="17.16015625" style="0" customWidth="1"/>
    <col min="16" max="16" width="9.16015625" style="0" customWidth="1"/>
  </cols>
  <sheetData>
    <row r="1" spans="9:10" ht="12.75" customHeight="1">
      <c r="I1" s="51"/>
      <c r="J1" s="51"/>
    </row>
    <row r="2" spans="1:16" ht="21.75" customHeight="1">
      <c r="A2" s="17" t="s">
        <v>1440</v>
      </c>
      <c r="B2" s="17"/>
      <c r="C2" s="17"/>
      <c r="D2" s="17"/>
      <c r="E2" s="17"/>
      <c r="F2" s="17"/>
      <c r="G2" s="17"/>
      <c r="H2" s="17"/>
      <c r="I2" s="52"/>
      <c r="J2" s="52"/>
      <c r="K2" s="17"/>
      <c r="L2" s="17"/>
      <c r="M2" s="17"/>
      <c r="N2" s="17"/>
      <c r="O2" s="17"/>
      <c r="P2" s="16"/>
    </row>
    <row r="3" spans="1:16" ht="17.25" customHeight="1">
      <c r="A3" s="18"/>
      <c r="B3" s="18"/>
      <c r="C3" s="18"/>
      <c r="D3" s="18"/>
      <c r="E3" s="18"/>
      <c r="F3" s="18"/>
      <c r="G3" s="18"/>
      <c r="H3" s="18"/>
      <c r="I3" s="53"/>
      <c r="J3" s="53"/>
      <c r="K3" s="18"/>
      <c r="L3" s="18"/>
      <c r="M3" s="18"/>
      <c r="N3" s="18"/>
      <c r="O3" s="18"/>
      <c r="P3" s="16"/>
    </row>
    <row r="4" spans="1:16" ht="17.25" customHeight="1">
      <c r="A4" s="20" t="s">
        <v>1441</v>
      </c>
      <c r="B4" s="20" t="s">
        <v>1442</v>
      </c>
      <c r="C4" s="38" t="s">
        <v>1132</v>
      </c>
      <c r="D4" s="38" t="s">
        <v>1443</v>
      </c>
      <c r="E4" s="38" t="s">
        <v>1444</v>
      </c>
      <c r="F4" s="38" t="s">
        <v>1445</v>
      </c>
      <c r="G4" s="38" t="s">
        <v>1446</v>
      </c>
      <c r="H4" s="38" t="s">
        <v>1447</v>
      </c>
      <c r="I4" s="54" t="s">
        <v>1448</v>
      </c>
      <c r="J4" s="54" t="s">
        <v>1449</v>
      </c>
      <c r="K4" s="38" t="s">
        <v>1450</v>
      </c>
      <c r="L4" s="20" t="s">
        <v>1451</v>
      </c>
      <c r="M4" s="20"/>
      <c r="N4" s="20"/>
      <c r="O4" s="20"/>
      <c r="P4" s="16"/>
    </row>
    <row r="5" spans="1:16" ht="17.25" customHeight="1">
      <c r="A5" s="20"/>
      <c r="B5" s="20"/>
      <c r="C5" s="38"/>
      <c r="D5" s="38"/>
      <c r="E5" s="38"/>
      <c r="F5" s="38"/>
      <c r="G5" s="38"/>
      <c r="H5" s="38"/>
      <c r="I5" s="54"/>
      <c r="J5" s="54"/>
      <c r="K5" s="38"/>
      <c r="L5" s="20" t="s">
        <v>1452</v>
      </c>
      <c r="M5" s="20" t="s">
        <v>1453</v>
      </c>
      <c r="N5" s="20" t="s">
        <v>1454</v>
      </c>
      <c r="O5" s="20" t="s">
        <v>1455</v>
      </c>
      <c r="P5" s="16"/>
    </row>
    <row r="6" spans="1:16" ht="17.25" customHeight="1">
      <c r="A6" s="28" t="s">
        <v>1408</v>
      </c>
      <c r="B6" s="48" t="s">
        <v>1408</v>
      </c>
      <c r="C6" s="48" t="s">
        <v>1456</v>
      </c>
      <c r="D6" s="48" t="s">
        <v>1457</v>
      </c>
      <c r="E6" s="48" t="s">
        <v>1458</v>
      </c>
      <c r="F6" s="48" t="s">
        <v>1459</v>
      </c>
      <c r="G6" s="48" t="s">
        <v>1460</v>
      </c>
      <c r="H6" s="48" t="s">
        <v>1461</v>
      </c>
      <c r="I6" s="55" t="s">
        <v>1462</v>
      </c>
      <c r="J6" s="55" t="s">
        <v>1463</v>
      </c>
      <c r="K6" s="48" t="s">
        <v>1464</v>
      </c>
      <c r="L6" s="30">
        <v>11</v>
      </c>
      <c r="M6" s="30">
        <v>12</v>
      </c>
      <c r="N6" s="30">
        <v>13</v>
      </c>
      <c r="O6" s="30">
        <v>14</v>
      </c>
      <c r="P6" s="16"/>
    </row>
    <row r="7" spans="1:16" ht="17.25" customHeight="1">
      <c r="A7" s="32"/>
      <c r="B7" s="49" t="s">
        <v>1132</v>
      </c>
      <c r="C7" s="50">
        <v>11058471</v>
      </c>
      <c r="D7" s="50">
        <v>4948471</v>
      </c>
      <c r="E7" s="50">
        <v>3900000</v>
      </c>
      <c r="F7" s="50">
        <v>870000</v>
      </c>
      <c r="G7" s="50">
        <v>1340000</v>
      </c>
      <c r="H7" s="50">
        <v>0</v>
      </c>
      <c r="I7" s="50">
        <v>0</v>
      </c>
      <c r="J7" s="50">
        <v>0</v>
      </c>
      <c r="K7" s="50">
        <v>0</v>
      </c>
      <c r="L7" s="56">
        <v>4909280</v>
      </c>
      <c r="M7" s="57">
        <v>8103632</v>
      </c>
      <c r="N7" s="57">
        <v>4987770.8</v>
      </c>
      <c r="O7" s="57">
        <v>6000227.59</v>
      </c>
      <c r="P7" s="16"/>
    </row>
    <row r="8" spans="1:16" ht="17.25" customHeight="1">
      <c r="A8" s="32" t="s">
        <v>1465</v>
      </c>
      <c r="B8" s="49" t="s">
        <v>1466</v>
      </c>
      <c r="C8" s="50">
        <v>100000</v>
      </c>
      <c r="D8" s="50">
        <v>0</v>
      </c>
      <c r="E8" s="50">
        <v>100000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6">
        <v>164100</v>
      </c>
      <c r="M8" s="57">
        <v>50000</v>
      </c>
      <c r="N8" s="57">
        <v>0</v>
      </c>
      <c r="O8" s="57">
        <v>71366.67</v>
      </c>
      <c r="P8" s="16"/>
    </row>
    <row r="9" spans="1:16" ht="17.25" customHeight="1">
      <c r="A9" s="32" t="s">
        <v>1467</v>
      </c>
      <c r="B9" s="49" t="s">
        <v>1468</v>
      </c>
      <c r="C9" s="50">
        <v>100000</v>
      </c>
      <c r="D9" s="50">
        <v>0</v>
      </c>
      <c r="E9" s="50">
        <v>100000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6">
        <v>164100</v>
      </c>
      <c r="M9" s="57">
        <v>50000</v>
      </c>
      <c r="N9" s="57">
        <v>0</v>
      </c>
      <c r="O9" s="57">
        <v>71366.67</v>
      </c>
      <c r="P9" s="16"/>
    </row>
    <row r="10" spans="1:16" ht="17.25" customHeight="1">
      <c r="A10" s="32" t="s">
        <v>1469</v>
      </c>
      <c r="B10" s="49" t="s">
        <v>1470</v>
      </c>
      <c r="C10" s="50">
        <v>100000</v>
      </c>
      <c r="D10" s="50">
        <v>0</v>
      </c>
      <c r="E10" s="50">
        <v>100000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6">
        <v>164100</v>
      </c>
      <c r="M10" s="57">
        <v>50000</v>
      </c>
      <c r="N10" s="57">
        <v>0</v>
      </c>
      <c r="O10" s="57">
        <v>71366.67</v>
      </c>
      <c r="P10" s="16"/>
    </row>
    <row r="11" spans="1:16" ht="17.25" customHeight="1">
      <c r="A11" s="32" t="s">
        <v>1471</v>
      </c>
      <c r="B11" s="49" t="s">
        <v>1472</v>
      </c>
      <c r="C11" s="50">
        <v>300000</v>
      </c>
      <c r="D11" s="50">
        <v>0</v>
      </c>
      <c r="E11" s="50">
        <v>300000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6">
        <v>0</v>
      </c>
      <c r="M11" s="57">
        <v>0</v>
      </c>
      <c r="N11" s="57">
        <v>0</v>
      </c>
      <c r="O11" s="57">
        <v>0</v>
      </c>
      <c r="P11" s="16"/>
    </row>
    <row r="12" spans="1:16" ht="17.25" customHeight="1">
      <c r="A12" s="32" t="s">
        <v>1473</v>
      </c>
      <c r="B12" s="49" t="s">
        <v>1474</v>
      </c>
      <c r="C12" s="50">
        <v>300000</v>
      </c>
      <c r="D12" s="50">
        <v>0</v>
      </c>
      <c r="E12" s="50">
        <v>300000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6">
        <v>0</v>
      </c>
      <c r="M12" s="57">
        <v>0</v>
      </c>
      <c r="N12" s="57">
        <v>0</v>
      </c>
      <c r="O12" s="57">
        <v>0</v>
      </c>
      <c r="P12" s="16"/>
    </row>
    <row r="13" spans="1:16" ht="17.25" customHeight="1">
      <c r="A13" s="32" t="s">
        <v>1469</v>
      </c>
      <c r="B13" s="49" t="s">
        <v>1475</v>
      </c>
      <c r="C13" s="50">
        <v>300000</v>
      </c>
      <c r="D13" s="50">
        <v>0</v>
      </c>
      <c r="E13" s="50">
        <v>300000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6">
        <v>0</v>
      </c>
      <c r="M13" s="57">
        <v>0</v>
      </c>
      <c r="N13" s="57">
        <v>0</v>
      </c>
      <c r="O13" s="57">
        <v>0</v>
      </c>
      <c r="P13" s="16"/>
    </row>
    <row r="14" spans="1:16" ht="17.25" customHeight="1">
      <c r="A14" s="32" t="s">
        <v>1476</v>
      </c>
      <c r="B14" s="49" t="s">
        <v>1477</v>
      </c>
      <c r="C14" s="50">
        <v>150000</v>
      </c>
      <c r="D14" s="50">
        <v>0</v>
      </c>
      <c r="E14" s="50">
        <v>150000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6">
        <v>297273</v>
      </c>
      <c r="M14" s="57">
        <v>420000</v>
      </c>
      <c r="N14" s="57">
        <v>150000</v>
      </c>
      <c r="O14" s="57">
        <v>289091</v>
      </c>
      <c r="P14" s="16"/>
    </row>
    <row r="15" spans="1:16" ht="17.25" customHeight="1">
      <c r="A15" s="32" t="s">
        <v>1478</v>
      </c>
      <c r="B15" s="49" t="s">
        <v>1479</v>
      </c>
      <c r="C15" s="50">
        <v>150000</v>
      </c>
      <c r="D15" s="50">
        <v>0</v>
      </c>
      <c r="E15" s="50">
        <v>150000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6">
        <v>297273</v>
      </c>
      <c r="M15" s="57">
        <v>420000</v>
      </c>
      <c r="N15" s="57">
        <v>150000</v>
      </c>
      <c r="O15" s="57">
        <v>289091</v>
      </c>
      <c r="P15" s="16"/>
    </row>
    <row r="16" spans="1:16" ht="17.25" customHeight="1">
      <c r="A16" s="32" t="s">
        <v>1469</v>
      </c>
      <c r="B16" s="49" t="s">
        <v>1475</v>
      </c>
      <c r="C16" s="50">
        <v>150000</v>
      </c>
      <c r="D16" s="50">
        <v>0</v>
      </c>
      <c r="E16" s="50">
        <v>150000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6">
        <v>297273</v>
      </c>
      <c r="M16" s="57">
        <v>420000</v>
      </c>
      <c r="N16" s="57">
        <v>150000</v>
      </c>
      <c r="O16" s="57">
        <v>289091</v>
      </c>
      <c r="P16" s="16"/>
    </row>
    <row r="17" spans="1:16" ht="17.25" customHeight="1">
      <c r="A17" s="32" t="s">
        <v>1480</v>
      </c>
      <c r="B17" s="49" t="s">
        <v>1481</v>
      </c>
      <c r="C17" s="50">
        <v>2800000</v>
      </c>
      <c r="D17" s="50">
        <v>0</v>
      </c>
      <c r="E17" s="50">
        <v>2800000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6">
        <v>1360000</v>
      </c>
      <c r="M17" s="57">
        <v>1800000</v>
      </c>
      <c r="N17" s="57">
        <v>951153</v>
      </c>
      <c r="O17" s="57">
        <v>1370384.33</v>
      </c>
      <c r="P17" s="16"/>
    </row>
    <row r="18" spans="1:16" ht="17.25" customHeight="1">
      <c r="A18" s="32" t="s">
        <v>1482</v>
      </c>
      <c r="B18" s="49" t="s">
        <v>1483</v>
      </c>
      <c r="C18" s="50">
        <v>2800000</v>
      </c>
      <c r="D18" s="50">
        <v>0</v>
      </c>
      <c r="E18" s="50">
        <v>2800000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6">
        <v>1360000</v>
      </c>
      <c r="M18" s="57">
        <v>1800000</v>
      </c>
      <c r="N18" s="57">
        <v>951153</v>
      </c>
      <c r="O18" s="57">
        <v>1370384.33</v>
      </c>
      <c r="P18" s="16"/>
    </row>
    <row r="19" spans="1:16" ht="17.25" customHeight="1">
      <c r="A19" s="32" t="s">
        <v>1469</v>
      </c>
      <c r="B19" s="49" t="s">
        <v>1470</v>
      </c>
      <c r="C19" s="50">
        <v>2800000</v>
      </c>
      <c r="D19" s="50">
        <v>0</v>
      </c>
      <c r="E19" s="50">
        <v>2800000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6">
        <v>1360000</v>
      </c>
      <c r="M19" s="57">
        <v>1800000</v>
      </c>
      <c r="N19" s="57">
        <v>951153</v>
      </c>
      <c r="O19" s="57">
        <v>1370384.33</v>
      </c>
      <c r="P19" s="16"/>
    </row>
    <row r="20" spans="1:16" ht="17.25" customHeight="1">
      <c r="A20" s="32" t="s">
        <v>1484</v>
      </c>
      <c r="B20" s="49" t="s">
        <v>1485</v>
      </c>
      <c r="C20" s="50">
        <v>250000</v>
      </c>
      <c r="D20" s="50">
        <v>0</v>
      </c>
      <c r="E20" s="50">
        <v>0</v>
      </c>
      <c r="F20" s="50">
        <v>250000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6">
        <v>0</v>
      </c>
      <c r="M20" s="57">
        <v>0</v>
      </c>
      <c r="N20" s="57">
        <v>0</v>
      </c>
      <c r="O20" s="57">
        <v>0</v>
      </c>
      <c r="P20" s="16"/>
    </row>
    <row r="21" spans="1:16" ht="17.25" customHeight="1">
      <c r="A21" s="32" t="s">
        <v>1486</v>
      </c>
      <c r="B21" s="49" t="s">
        <v>1487</v>
      </c>
      <c r="C21" s="50">
        <v>250000</v>
      </c>
      <c r="D21" s="50">
        <v>0</v>
      </c>
      <c r="E21" s="50">
        <v>0</v>
      </c>
      <c r="F21" s="50">
        <v>250000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6">
        <v>0</v>
      </c>
      <c r="M21" s="57">
        <v>0</v>
      </c>
      <c r="N21" s="57">
        <v>0</v>
      </c>
      <c r="O21" s="57">
        <v>0</v>
      </c>
      <c r="P21" s="16"/>
    </row>
    <row r="22" spans="1:16" ht="17.25" customHeight="1">
      <c r="A22" s="32" t="s">
        <v>1469</v>
      </c>
      <c r="B22" s="49" t="s">
        <v>1488</v>
      </c>
      <c r="C22" s="50">
        <v>250000</v>
      </c>
      <c r="D22" s="50">
        <v>0</v>
      </c>
      <c r="E22" s="50">
        <v>0</v>
      </c>
      <c r="F22" s="50">
        <v>250000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6">
        <v>0</v>
      </c>
      <c r="M22" s="57">
        <v>0</v>
      </c>
      <c r="N22" s="57">
        <v>0</v>
      </c>
      <c r="O22" s="57">
        <v>0</v>
      </c>
      <c r="P22" s="16"/>
    </row>
    <row r="23" spans="1:16" ht="17.25" customHeight="1">
      <c r="A23" s="32" t="s">
        <v>1489</v>
      </c>
      <c r="B23" s="49" t="s">
        <v>1490</v>
      </c>
      <c r="C23" s="50">
        <v>40000</v>
      </c>
      <c r="D23" s="50">
        <v>0</v>
      </c>
      <c r="E23" s="50">
        <v>40000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6">
        <v>0</v>
      </c>
      <c r="M23" s="57">
        <v>0</v>
      </c>
      <c r="N23" s="57">
        <v>0</v>
      </c>
      <c r="O23" s="57">
        <v>0</v>
      </c>
      <c r="P23" s="16"/>
    </row>
    <row r="24" spans="1:16" ht="17.25" customHeight="1">
      <c r="A24" s="32" t="s">
        <v>1491</v>
      </c>
      <c r="B24" s="49" t="s">
        <v>1492</v>
      </c>
      <c r="C24" s="50">
        <v>40000</v>
      </c>
      <c r="D24" s="50">
        <v>0</v>
      </c>
      <c r="E24" s="50">
        <v>40000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6">
        <v>0</v>
      </c>
      <c r="M24" s="57">
        <v>0</v>
      </c>
      <c r="N24" s="57">
        <v>0</v>
      </c>
      <c r="O24" s="57">
        <v>0</v>
      </c>
      <c r="P24" s="16"/>
    </row>
    <row r="25" spans="1:16" ht="17.25" customHeight="1">
      <c r="A25" s="32" t="s">
        <v>1469</v>
      </c>
      <c r="B25" s="49" t="s">
        <v>1493</v>
      </c>
      <c r="C25" s="50">
        <v>40000</v>
      </c>
      <c r="D25" s="50">
        <v>0</v>
      </c>
      <c r="E25" s="50">
        <v>40000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6">
        <v>0</v>
      </c>
      <c r="M25" s="57">
        <v>0</v>
      </c>
      <c r="N25" s="57">
        <v>0</v>
      </c>
      <c r="O25" s="57">
        <v>0</v>
      </c>
      <c r="P25" s="16"/>
    </row>
    <row r="26" spans="1:16" ht="17.25" customHeight="1">
      <c r="A26" s="32" t="s">
        <v>1494</v>
      </c>
      <c r="B26" s="49" t="s">
        <v>1495</v>
      </c>
      <c r="C26" s="50">
        <v>240000</v>
      </c>
      <c r="D26" s="50">
        <v>0</v>
      </c>
      <c r="E26" s="50">
        <v>120000</v>
      </c>
      <c r="F26" s="50">
        <v>120000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6">
        <v>0</v>
      </c>
      <c r="M26" s="57">
        <v>0</v>
      </c>
      <c r="N26" s="57">
        <v>0</v>
      </c>
      <c r="O26" s="57">
        <v>0</v>
      </c>
      <c r="P26" s="16"/>
    </row>
    <row r="27" spans="1:16" ht="17.25" customHeight="1">
      <c r="A27" s="32" t="s">
        <v>1496</v>
      </c>
      <c r="B27" s="49" t="s">
        <v>1497</v>
      </c>
      <c r="C27" s="50">
        <v>240000</v>
      </c>
      <c r="D27" s="50">
        <v>0</v>
      </c>
      <c r="E27" s="50">
        <v>120000</v>
      </c>
      <c r="F27" s="50">
        <v>120000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6">
        <v>0</v>
      </c>
      <c r="M27" s="57">
        <v>0</v>
      </c>
      <c r="N27" s="57">
        <v>0</v>
      </c>
      <c r="O27" s="57">
        <v>0</v>
      </c>
      <c r="P27" s="16"/>
    </row>
    <row r="28" spans="1:15" ht="17.25" customHeight="1">
      <c r="A28" s="32" t="s">
        <v>1469</v>
      </c>
      <c r="B28" s="49" t="s">
        <v>1498</v>
      </c>
      <c r="C28" s="50">
        <v>120000</v>
      </c>
      <c r="D28" s="50">
        <v>0</v>
      </c>
      <c r="E28" s="50">
        <v>0</v>
      </c>
      <c r="F28" s="50">
        <v>120000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6">
        <v>0</v>
      </c>
      <c r="M28" s="57">
        <v>0</v>
      </c>
      <c r="N28" s="57">
        <v>0</v>
      </c>
      <c r="O28" s="57">
        <v>0</v>
      </c>
    </row>
    <row r="29" spans="1:15" ht="17.25" customHeight="1">
      <c r="A29" s="32" t="s">
        <v>1469</v>
      </c>
      <c r="B29" s="49" t="s">
        <v>1475</v>
      </c>
      <c r="C29" s="50">
        <v>120000</v>
      </c>
      <c r="D29" s="50">
        <v>0</v>
      </c>
      <c r="E29" s="50">
        <v>120000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6">
        <v>0</v>
      </c>
      <c r="M29" s="57">
        <v>0</v>
      </c>
      <c r="N29" s="57">
        <v>0</v>
      </c>
      <c r="O29" s="57">
        <v>0</v>
      </c>
    </row>
    <row r="30" spans="1:15" ht="17.25" customHeight="1">
      <c r="A30" s="32" t="s">
        <v>1499</v>
      </c>
      <c r="B30" s="49" t="s">
        <v>1500</v>
      </c>
      <c r="C30" s="50">
        <v>3140000</v>
      </c>
      <c r="D30" s="50">
        <v>1700000</v>
      </c>
      <c r="E30" s="50">
        <v>100000</v>
      </c>
      <c r="F30" s="50">
        <v>0</v>
      </c>
      <c r="G30" s="50">
        <v>1340000</v>
      </c>
      <c r="H30" s="50">
        <v>0</v>
      </c>
      <c r="I30" s="50">
        <v>0</v>
      </c>
      <c r="J30" s="50">
        <v>0</v>
      </c>
      <c r="K30" s="50">
        <v>0</v>
      </c>
      <c r="L30" s="56">
        <v>1251707</v>
      </c>
      <c r="M30" s="57">
        <v>3805632</v>
      </c>
      <c r="N30" s="57">
        <v>1008417.8</v>
      </c>
      <c r="O30" s="57">
        <v>2021918.93</v>
      </c>
    </row>
    <row r="31" spans="1:15" ht="17.25" customHeight="1">
      <c r="A31" s="32" t="s">
        <v>1501</v>
      </c>
      <c r="B31" s="49" t="s">
        <v>1502</v>
      </c>
      <c r="C31" s="50">
        <v>3140000</v>
      </c>
      <c r="D31" s="50">
        <v>1700000</v>
      </c>
      <c r="E31" s="50">
        <v>100000</v>
      </c>
      <c r="F31" s="50">
        <v>0</v>
      </c>
      <c r="G31" s="50">
        <v>1340000</v>
      </c>
      <c r="H31" s="50">
        <v>0</v>
      </c>
      <c r="I31" s="50">
        <v>0</v>
      </c>
      <c r="J31" s="50">
        <v>0</v>
      </c>
      <c r="K31" s="50">
        <v>0</v>
      </c>
      <c r="L31" s="56">
        <v>1251707</v>
      </c>
      <c r="M31" s="57">
        <v>3805632</v>
      </c>
      <c r="N31" s="57">
        <v>1008417.8</v>
      </c>
      <c r="O31" s="57">
        <v>2021918.93</v>
      </c>
    </row>
    <row r="32" spans="1:15" ht="17.25" customHeight="1">
      <c r="A32" s="32" t="s">
        <v>1469</v>
      </c>
      <c r="B32" s="49" t="s">
        <v>1503</v>
      </c>
      <c r="C32" s="50">
        <v>300000</v>
      </c>
      <c r="D32" s="50">
        <v>0</v>
      </c>
      <c r="E32" s="50">
        <v>0</v>
      </c>
      <c r="F32" s="50">
        <v>0</v>
      </c>
      <c r="G32" s="50">
        <v>300000</v>
      </c>
      <c r="H32" s="50">
        <v>0</v>
      </c>
      <c r="I32" s="50">
        <v>0</v>
      </c>
      <c r="J32" s="50">
        <v>0</v>
      </c>
      <c r="K32" s="50">
        <v>0</v>
      </c>
      <c r="L32" s="56">
        <v>0</v>
      </c>
      <c r="M32" s="57">
        <v>234955</v>
      </c>
      <c r="N32" s="57">
        <v>41761.2</v>
      </c>
      <c r="O32" s="57">
        <v>92238.73</v>
      </c>
    </row>
    <row r="33" spans="1:15" ht="17.25" customHeight="1">
      <c r="A33" s="32" t="s">
        <v>1469</v>
      </c>
      <c r="B33" s="49" t="s">
        <v>1504</v>
      </c>
      <c r="C33" s="50">
        <v>650000</v>
      </c>
      <c r="D33" s="50">
        <v>0</v>
      </c>
      <c r="E33" s="50">
        <v>0</v>
      </c>
      <c r="F33" s="50">
        <v>0</v>
      </c>
      <c r="G33" s="50">
        <v>650000</v>
      </c>
      <c r="H33" s="50">
        <v>0</v>
      </c>
      <c r="I33" s="50">
        <v>0</v>
      </c>
      <c r="J33" s="50">
        <v>0</v>
      </c>
      <c r="K33" s="50">
        <v>0</v>
      </c>
      <c r="L33" s="56">
        <v>0</v>
      </c>
      <c r="M33" s="57">
        <v>0</v>
      </c>
      <c r="N33" s="57">
        <v>883240.6</v>
      </c>
      <c r="O33" s="57">
        <v>294413.53</v>
      </c>
    </row>
    <row r="34" spans="1:15" ht="17.25" customHeight="1">
      <c r="A34" s="32" t="s">
        <v>1469</v>
      </c>
      <c r="B34" s="49" t="s">
        <v>1505</v>
      </c>
      <c r="C34" s="50">
        <v>390000</v>
      </c>
      <c r="D34" s="50">
        <v>0</v>
      </c>
      <c r="E34" s="50">
        <v>0</v>
      </c>
      <c r="F34" s="50">
        <v>0</v>
      </c>
      <c r="G34" s="50">
        <v>390000</v>
      </c>
      <c r="H34" s="50">
        <v>0</v>
      </c>
      <c r="I34" s="50">
        <v>0</v>
      </c>
      <c r="J34" s="50">
        <v>0</v>
      </c>
      <c r="K34" s="50">
        <v>0</v>
      </c>
      <c r="L34" s="56">
        <v>0</v>
      </c>
      <c r="M34" s="57">
        <v>0</v>
      </c>
      <c r="N34" s="57">
        <v>0</v>
      </c>
      <c r="O34" s="57">
        <v>0</v>
      </c>
    </row>
    <row r="35" spans="1:15" ht="17.25" customHeight="1">
      <c r="A35" s="32" t="s">
        <v>1469</v>
      </c>
      <c r="B35" s="49" t="s">
        <v>1506</v>
      </c>
      <c r="C35" s="50">
        <v>1700000</v>
      </c>
      <c r="D35" s="50">
        <v>1700000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6">
        <v>1145607</v>
      </c>
      <c r="M35" s="57">
        <v>1446035</v>
      </c>
      <c r="N35" s="57">
        <v>18301</v>
      </c>
      <c r="O35" s="57">
        <v>869981</v>
      </c>
    </row>
    <row r="36" spans="1:15" ht="17.25" customHeight="1">
      <c r="A36" s="32" t="s">
        <v>1469</v>
      </c>
      <c r="B36" s="49" t="s">
        <v>1475</v>
      </c>
      <c r="C36" s="50">
        <v>100000</v>
      </c>
      <c r="D36" s="50">
        <v>0</v>
      </c>
      <c r="E36" s="50">
        <v>100000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6">
        <v>106100</v>
      </c>
      <c r="M36" s="57">
        <v>2124642</v>
      </c>
      <c r="N36" s="57">
        <v>65115</v>
      </c>
      <c r="O36" s="57">
        <v>765285.67</v>
      </c>
    </row>
    <row r="37" spans="1:15" ht="17.25" customHeight="1">
      <c r="A37" s="32" t="s">
        <v>1507</v>
      </c>
      <c r="B37" s="49" t="s">
        <v>1508</v>
      </c>
      <c r="C37" s="50">
        <v>581771</v>
      </c>
      <c r="D37" s="50">
        <v>481771</v>
      </c>
      <c r="E37" s="50">
        <v>100000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6">
        <v>0</v>
      </c>
      <c r="M37" s="57">
        <v>0</v>
      </c>
      <c r="N37" s="57">
        <v>0</v>
      </c>
      <c r="O37" s="57">
        <v>0</v>
      </c>
    </row>
    <row r="38" spans="1:15" ht="17.25" customHeight="1">
      <c r="A38" s="32" t="s">
        <v>1509</v>
      </c>
      <c r="B38" s="49" t="s">
        <v>1510</v>
      </c>
      <c r="C38" s="50">
        <v>581771</v>
      </c>
      <c r="D38" s="50">
        <v>481771</v>
      </c>
      <c r="E38" s="50">
        <v>100000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6">
        <v>0</v>
      </c>
      <c r="M38" s="57">
        <v>0</v>
      </c>
      <c r="N38" s="57">
        <v>0</v>
      </c>
      <c r="O38" s="57">
        <v>0</v>
      </c>
    </row>
    <row r="39" spans="1:15" ht="17.25" customHeight="1">
      <c r="A39" s="32" t="s">
        <v>1469</v>
      </c>
      <c r="B39" s="49" t="s">
        <v>1511</v>
      </c>
      <c r="C39" s="50">
        <v>481771</v>
      </c>
      <c r="D39" s="50">
        <v>481771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6">
        <v>0</v>
      </c>
      <c r="M39" s="57">
        <v>0</v>
      </c>
      <c r="N39" s="57">
        <v>0</v>
      </c>
      <c r="O39" s="57">
        <v>0</v>
      </c>
    </row>
    <row r="40" spans="1:15" ht="17.25" customHeight="1">
      <c r="A40" s="32" t="s">
        <v>1469</v>
      </c>
      <c r="B40" s="49" t="s">
        <v>1475</v>
      </c>
      <c r="C40" s="50">
        <v>100000</v>
      </c>
      <c r="D40" s="50">
        <v>0</v>
      </c>
      <c r="E40" s="50">
        <v>100000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6">
        <v>0</v>
      </c>
      <c r="M40" s="57">
        <v>0</v>
      </c>
      <c r="N40" s="57">
        <v>0</v>
      </c>
      <c r="O40" s="57">
        <v>0</v>
      </c>
    </row>
    <row r="41" spans="1:15" ht="17.25" customHeight="1">
      <c r="A41" s="32" t="s">
        <v>1512</v>
      </c>
      <c r="B41" s="49" t="s">
        <v>1513</v>
      </c>
      <c r="C41" s="50">
        <v>400000</v>
      </c>
      <c r="D41" s="50">
        <v>0</v>
      </c>
      <c r="E41" s="50">
        <v>0</v>
      </c>
      <c r="F41" s="50">
        <v>400000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6">
        <v>350000</v>
      </c>
      <c r="M41" s="57">
        <v>250000</v>
      </c>
      <c r="N41" s="57">
        <v>400000</v>
      </c>
      <c r="O41" s="57">
        <v>333333.33</v>
      </c>
    </row>
    <row r="42" spans="1:15" ht="17.25" customHeight="1">
      <c r="A42" s="32" t="s">
        <v>1514</v>
      </c>
      <c r="B42" s="49" t="s">
        <v>1515</v>
      </c>
      <c r="C42" s="50">
        <v>400000</v>
      </c>
      <c r="D42" s="50">
        <v>0</v>
      </c>
      <c r="E42" s="50">
        <v>0</v>
      </c>
      <c r="F42" s="50">
        <v>400000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6">
        <v>350000</v>
      </c>
      <c r="M42" s="57">
        <v>250000</v>
      </c>
      <c r="N42" s="57">
        <v>400000</v>
      </c>
      <c r="O42" s="57">
        <v>333333.33</v>
      </c>
    </row>
    <row r="43" spans="1:15" ht="17.25" customHeight="1">
      <c r="A43" s="32" t="s">
        <v>1469</v>
      </c>
      <c r="B43" s="49" t="s">
        <v>1475</v>
      </c>
      <c r="C43" s="50">
        <v>400000</v>
      </c>
      <c r="D43" s="50">
        <v>0</v>
      </c>
      <c r="E43" s="50">
        <v>0</v>
      </c>
      <c r="F43" s="50">
        <v>400000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6">
        <v>350000</v>
      </c>
      <c r="M43" s="57">
        <v>250000</v>
      </c>
      <c r="N43" s="57">
        <v>400000</v>
      </c>
      <c r="O43" s="57">
        <v>333333.33</v>
      </c>
    </row>
    <row r="44" spans="1:15" ht="17.25" customHeight="1">
      <c r="A44" s="32" t="s">
        <v>1516</v>
      </c>
      <c r="B44" s="49" t="s">
        <v>1517</v>
      </c>
      <c r="C44" s="50">
        <v>2711700</v>
      </c>
      <c r="D44" s="50">
        <v>2611700</v>
      </c>
      <c r="E44" s="50">
        <v>0</v>
      </c>
      <c r="F44" s="50">
        <v>100000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6">
        <v>1431200</v>
      </c>
      <c r="M44" s="57">
        <v>1738000</v>
      </c>
      <c r="N44" s="57">
        <v>2438200</v>
      </c>
      <c r="O44" s="57">
        <v>1869133.33</v>
      </c>
    </row>
    <row r="45" spans="1:15" ht="17.25" customHeight="1">
      <c r="A45" s="32" t="s">
        <v>1518</v>
      </c>
      <c r="B45" s="49" t="s">
        <v>1519</v>
      </c>
      <c r="C45" s="50">
        <v>2711700</v>
      </c>
      <c r="D45" s="50">
        <v>2611700</v>
      </c>
      <c r="E45" s="50">
        <v>0</v>
      </c>
      <c r="F45" s="50">
        <v>100000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6">
        <v>1431200</v>
      </c>
      <c r="M45" s="57">
        <v>1738000</v>
      </c>
      <c r="N45" s="57">
        <v>2438200</v>
      </c>
      <c r="O45" s="57">
        <v>1869133.33</v>
      </c>
    </row>
    <row r="46" spans="1:15" ht="17.25" customHeight="1">
      <c r="A46" s="32" t="s">
        <v>1469</v>
      </c>
      <c r="B46" s="49" t="s">
        <v>1520</v>
      </c>
      <c r="C46" s="50">
        <v>100000</v>
      </c>
      <c r="D46" s="50">
        <v>0</v>
      </c>
      <c r="E46" s="50">
        <v>0</v>
      </c>
      <c r="F46" s="50">
        <v>100000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6">
        <v>158000</v>
      </c>
      <c r="M46" s="57">
        <v>370000</v>
      </c>
      <c r="N46" s="57">
        <v>255000</v>
      </c>
      <c r="O46" s="57">
        <v>261000</v>
      </c>
    </row>
    <row r="47" spans="1:15" ht="17.25" customHeight="1">
      <c r="A47" s="32" t="s">
        <v>1469</v>
      </c>
      <c r="B47" s="49" t="s">
        <v>1521</v>
      </c>
      <c r="C47" s="50">
        <v>60000</v>
      </c>
      <c r="D47" s="50">
        <v>60000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6">
        <v>108200</v>
      </c>
      <c r="M47" s="57">
        <v>18000</v>
      </c>
      <c r="N47" s="57">
        <v>50000</v>
      </c>
      <c r="O47" s="57">
        <v>58733.33</v>
      </c>
    </row>
    <row r="48" spans="1:15" ht="17.25" customHeight="1">
      <c r="A48" s="32" t="s">
        <v>1469</v>
      </c>
      <c r="B48" s="49" t="s">
        <v>1522</v>
      </c>
      <c r="C48" s="50">
        <v>221700</v>
      </c>
      <c r="D48" s="50">
        <v>221700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6">
        <v>165000</v>
      </c>
      <c r="M48" s="57">
        <v>350000</v>
      </c>
      <c r="N48" s="57">
        <v>150000</v>
      </c>
      <c r="O48" s="57">
        <v>221666.67</v>
      </c>
    </row>
    <row r="49" spans="1:15" ht="17.25" customHeight="1">
      <c r="A49" s="32" t="s">
        <v>1469</v>
      </c>
      <c r="B49" s="49" t="s">
        <v>1523</v>
      </c>
      <c r="C49" s="50">
        <v>2330000</v>
      </c>
      <c r="D49" s="50">
        <v>2330000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6">
        <v>1000000</v>
      </c>
      <c r="M49" s="57">
        <v>1000000</v>
      </c>
      <c r="N49" s="57">
        <v>1983200</v>
      </c>
      <c r="O49" s="57">
        <v>1327733.33</v>
      </c>
    </row>
    <row r="50" spans="1:15" ht="17.25" customHeight="1">
      <c r="A50" s="32" t="s">
        <v>1524</v>
      </c>
      <c r="B50" s="49" t="s">
        <v>1525</v>
      </c>
      <c r="C50" s="50">
        <v>150000</v>
      </c>
      <c r="D50" s="50">
        <v>100000</v>
      </c>
      <c r="E50" s="50">
        <v>50000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6">
        <v>55000</v>
      </c>
      <c r="M50" s="57">
        <v>40000</v>
      </c>
      <c r="N50" s="57">
        <v>40000</v>
      </c>
      <c r="O50" s="57">
        <v>45000</v>
      </c>
    </row>
    <row r="51" spans="1:15" ht="17.25" customHeight="1">
      <c r="A51" s="32" t="s">
        <v>1526</v>
      </c>
      <c r="B51" s="49" t="s">
        <v>1527</v>
      </c>
      <c r="C51" s="50">
        <v>150000</v>
      </c>
      <c r="D51" s="50">
        <v>100000</v>
      </c>
      <c r="E51" s="50">
        <v>50000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6">
        <v>55000</v>
      </c>
      <c r="M51" s="57">
        <v>40000</v>
      </c>
      <c r="N51" s="57">
        <v>40000</v>
      </c>
      <c r="O51" s="57">
        <v>45000</v>
      </c>
    </row>
    <row r="52" spans="1:15" ht="17.25" customHeight="1">
      <c r="A52" s="32" t="s">
        <v>1469</v>
      </c>
      <c r="B52" s="49" t="s">
        <v>1528</v>
      </c>
      <c r="C52" s="50">
        <v>100000</v>
      </c>
      <c r="D52" s="50">
        <v>100000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6">
        <v>0</v>
      </c>
      <c r="M52" s="57">
        <v>0</v>
      </c>
      <c r="N52" s="57">
        <v>0</v>
      </c>
      <c r="O52" s="57">
        <v>0</v>
      </c>
    </row>
    <row r="53" spans="1:15" ht="17.25" customHeight="1">
      <c r="A53" s="32" t="s">
        <v>1469</v>
      </c>
      <c r="B53" s="49" t="s">
        <v>1470</v>
      </c>
      <c r="C53" s="50">
        <v>50000</v>
      </c>
      <c r="D53" s="50">
        <v>0</v>
      </c>
      <c r="E53" s="50">
        <v>50000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6">
        <v>55000</v>
      </c>
      <c r="M53" s="57">
        <v>40000</v>
      </c>
      <c r="N53" s="57">
        <v>40000</v>
      </c>
      <c r="O53" s="57">
        <v>45000</v>
      </c>
    </row>
    <row r="54" spans="1:15" ht="17.25" customHeight="1">
      <c r="A54" s="32" t="s">
        <v>1529</v>
      </c>
      <c r="B54" s="49" t="s">
        <v>1530</v>
      </c>
      <c r="C54" s="50">
        <v>130000</v>
      </c>
      <c r="D54" s="50">
        <v>0</v>
      </c>
      <c r="E54" s="50">
        <v>130000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6">
        <v>0</v>
      </c>
      <c r="M54" s="57">
        <v>0</v>
      </c>
      <c r="N54" s="57">
        <v>0</v>
      </c>
      <c r="O54" s="57">
        <v>0</v>
      </c>
    </row>
    <row r="55" spans="1:15" ht="17.25" customHeight="1">
      <c r="A55" s="32" t="s">
        <v>1531</v>
      </c>
      <c r="B55" s="49" t="s">
        <v>1532</v>
      </c>
      <c r="C55" s="50">
        <v>130000</v>
      </c>
      <c r="D55" s="50">
        <v>0</v>
      </c>
      <c r="E55" s="50">
        <v>130000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6">
        <v>0</v>
      </c>
      <c r="M55" s="57">
        <v>0</v>
      </c>
      <c r="N55" s="57">
        <v>0</v>
      </c>
      <c r="O55" s="57">
        <v>0</v>
      </c>
    </row>
    <row r="56" spans="1:15" ht="17.25" customHeight="1">
      <c r="A56" s="32" t="s">
        <v>1469</v>
      </c>
      <c r="B56" s="49" t="s">
        <v>1470</v>
      </c>
      <c r="C56" s="50">
        <v>130000</v>
      </c>
      <c r="D56" s="50">
        <v>0</v>
      </c>
      <c r="E56" s="50">
        <v>130000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6">
        <v>0</v>
      </c>
      <c r="M56" s="57">
        <v>0</v>
      </c>
      <c r="N56" s="57">
        <v>0</v>
      </c>
      <c r="O56" s="57">
        <v>0</v>
      </c>
    </row>
    <row r="57" spans="1:15" ht="17.25" customHeight="1">
      <c r="A57" s="32" t="s">
        <v>1533</v>
      </c>
      <c r="B57" s="49" t="s">
        <v>1534</v>
      </c>
      <c r="C57" s="50">
        <v>65000</v>
      </c>
      <c r="D57" s="50">
        <v>55000</v>
      </c>
      <c r="E57" s="50">
        <v>10000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6">
        <v>0</v>
      </c>
      <c r="M57" s="57">
        <v>0</v>
      </c>
      <c r="N57" s="57">
        <v>0</v>
      </c>
      <c r="O57" s="57">
        <v>0</v>
      </c>
    </row>
    <row r="58" spans="1:15" ht="17.25" customHeight="1">
      <c r="A58" s="32" t="s">
        <v>1535</v>
      </c>
      <c r="B58" s="49" t="s">
        <v>1536</v>
      </c>
      <c r="C58" s="50">
        <v>65000</v>
      </c>
      <c r="D58" s="50">
        <v>55000</v>
      </c>
      <c r="E58" s="50">
        <v>10000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6">
        <v>0</v>
      </c>
      <c r="M58" s="57">
        <v>0</v>
      </c>
      <c r="N58" s="57">
        <v>0</v>
      </c>
      <c r="O58" s="57">
        <v>0</v>
      </c>
    </row>
    <row r="59" spans="1:15" ht="17.25" customHeight="1">
      <c r="A59" s="32" t="s">
        <v>1469</v>
      </c>
      <c r="B59" s="49" t="s">
        <v>1537</v>
      </c>
      <c r="C59" s="50">
        <v>55000</v>
      </c>
      <c r="D59" s="50">
        <v>55000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6">
        <v>0</v>
      </c>
      <c r="M59" s="57">
        <v>0</v>
      </c>
      <c r="N59" s="57">
        <v>0</v>
      </c>
      <c r="O59" s="57">
        <v>0</v>
      </c>
    </row>
    <row r="60" spans="1:15" ht="17.25" customHeight="1">
      <c r="A60" s="32" t="s">
        <v>1469</v>
      </c>
      <c r="B60" s="49" t="s">
        <v>1538</v>
      </c>
      <c r="C60" s="50">
        <v>10000</v>
      </c>
      <c r="D60" s="50">
        <v>0</v>
      </c>
      <c r="E60" s="50">
        <v>10000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6">
        <v>0</v>
      </c>
      <c r="M60" s="57">
        <v>0</v>
      </c>
      <c r="N60" s="57">
        <v>0</v>
      </c>
      <c r="O60" s="57">
        <v>0</v>
      </c>
    </row>
  </sheetData>
  <sheetProtection/>
  <mergeCells count="12">
    <mergeCell ref="L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" footer="0.5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29.16015625" style="0" customWidth="1"/>
    <col min="3" max="3" width="14.33203125" style="0" customWidth="1"/>
    <col min="4" max="4" width="9.66015625" style="0" customWidth="1"/>
    <col min="5" max="5" width="18" style="0" customWidth="1"/>
    <col min="6" max="8" width="11.16015625" style="0" customWidth="1"/>
    <col min="9" max="11" width="18.5" style="0" customWidth="1"/>
    <col min="12" max="13" width="14" style="0" customWidth="1"/>
    <col min="14" max="14" width="16.16015625" style="0" customWidth="1"/>
    <col min="15" max="15" width="18.5" style="0" customWidth="1"/>
    <col min="16" max="16" width="16.66015625" style="0" customWidth="1"/>
    <col min="17" max="17" width="14.16015625" style="0" customWidth="1"/>
    <col min="18" max="18" width="11.33203125" style="0" customWidth="1"/>
    <col min="19" max="19" width="11.5" style="0" customWidth="1"/>
    <col min="20" max="20" width="9.16015625" style="0" customWidth="1"/>
  </cols>
  <sheetData>
    <row r="1" ht="12.75" customHeight="1"/>
    <row r="2" spans="1:19" ht="21.75" customHeight="1">
      <c r="A2" s="17" t="s">
        <v>1539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 customHeight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34" t="s">
        <v>1406</v>
      </c>
    </row>
    <row r="4" spans="1:19" ht="18" customHeight="1">
      <c r="A4" s="20" t="s">
        <v>1441</v>
      </c>
      <c r="B4" s="20" t="s">
        <v>1442</v>
      </c>
      <c r="C4" s="20" t="s">
        <v>1540</v>
      </c>
      <c r="D4" s="20" t="s">
        <v>1541</v>
      </c>
      <c r="E4" s="20" t="s">
        <v>1542</v>
      </c>
      <c r="F4" s="20" t="s">
        <v>1543</v>
      </c>
      <c r="G4" s="20" t="s">
        <v>1544</v>
      </c>
      <c r="H4" s="21" t="s">
        <v>1545</v>
      </c>
      <c r="I4" s="22" t="s">
        <v>1546</v>
      </c>
      <c r="J4" s="23"/>
      <c r="K4" s="24"/>
      <c r="L4" s="24"/>
      <c r="M4" s="24"/>
      <c r="N4" s="24"/>
      <c r="O4" s="24"/>
      <c r="P4" s="23"/>
      <c r="Q4" s="23"/>
      <c r="R4" s="35"/>
      <c r="S4" s="36" t="s">
        <v>1547</v>
      </c>
    </row>
    <row r="5" spans="1:19" ht="18" customHeight="1">
      <c r="A5" s="20"/>
      <c r="B5" s="20"/>
      <c r="C5" s="20"/>
      <c r="D5" s="20"/>
      <c r="E5" s="20"/>
      <c r="F5" s="20"/>
      <c r="G5" s="20"/>
      <c r="H5" s="20"/>
      <c r="I5" s="25" t="s">
        <v>1144</v>
      </c>
      <c r="J5" s="26" t="s">
        <v>1548</v>
      </c>
      <c r="K5" s="22" t="s">
        <v>1549</v>
      </c>
      <c r="L5" s="23"/>
      <c r="M5" s="23"/>
      <c r="N5" s="23"/>
      <c r="O5" s="35"/>
      <c r="P5" s="37" t="s">
        <v>1550</v>
      </c>
      <c r="Q5" s="27" t="s">
        <v>1449</v>
      </c>
      <c r="R5" s="27" t="s">
        <v>1450</v>
      </c>
      <c r="S5" s="20"/>
    </row>
    <row r="6" spans="1:19" ht="25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7" t="s">
        <v>1551</v>
      </c>
      <c r="L6" s="27" t="s">
        <v>1552</v>
      </c>
      <c r="M6" s="27" t="s">
        <v>1553</v>
      </c>
      <c r="N6" s="27" t="s">
        <v>1554</v>
      </c>
      <c r="O6" s="27" t="s">
        <v>1447</v>
      </c>
      <c r="P6" s="38"/>
      <c r="Q6" s="38"/>
      <c r="R6" s="38"/>
      <c r="S6" s="20"/>
    </row>
    <row r="7" spans="1:19" ht="18" customHeight="1">
      <c r="A7" s="41" t="s">
        <v>1408</v>
      </c>
      <c r="B7" s="41" t="s">
        <v>1408</v>
      </c>
      <c r="C7" s="41" t="s">
        <v>1408</v>
      </c>
      <c r="D7" s="29" t="s">
        <v>1408</v>
      </c>
      <c r="E7" s="42" t="s">
        <v>1408</v>
      </c>
      <c r="F7" s="41" t="s">
        <v>1408</v>
      </c>
      <c r="G7" s="41" t="s">
        <v>1408</v>
      </c>
      <c r="H7" s="41" t="s">
        <v>1408</v>
      </c>
      <c r="I7" s="46">
        <v>1</v>
      </c>
      <c r="J7" s="46">
        <v>2</v>
      </c>
      <c r="K7" s="46">
        <v>3</v>
      </c>
      <c r="L7" s="46">
        <v>4</v>
      </c>
      <c r="M7" s="46">
        <v>5</v>
      </c>
      <c r="N7" s="46">
        <v>6</v>
      </c>
      <c r="O7" s="46">
        <v>7</v>
      </c>
      <c r="P7" s="46">
        <v>8</v>
      </c>
      <c r="Q7" s="46">
        <v>9</v>
      </c>
      <c r="R7" s="46">
        <v>10</v>
      </c>
      <c r="S7" s="47" t="s">
        <v>1408</v>
      </c>
    </row>
    <row r="8" spans="1:19" ht="18" customHeight="1">
      <c r="A8" s="43"/>
      <c r="B8" s="40" t="s">
        <v>1132</v>
      </c>
      <c r="C8" s="32"/>
      <c r="D8" s="40"/>
      <c r="E8" s="44"/>
      <c r="F8" s="45"/>
      <c r="G8" s="33">
        <v>55</v>
      </c>
      <c r="H8" s="45"/>
      <c r="I8" s="33">
        <v>799291.68</v>
      </c>
      <c r="J8" s="33">
        <v>738241.68</v>
      </c>
      <c r="K8" s="33">
        <v>11050</v>
      </c>
      <c r="L8" s="33">
        <v>50000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43"/>
    </row>
    <row r="9" spans="1:19" ht="18" customHeight="1">
      <c r="A9" s="43" t="s">
        <v>1555</v>
      </c>
      <c r="B9" s="40" t="s">
        <v>1556</v>
      </c>
      <c r="C9" s="32"/>
      <c r="D9" s="40"/>
      <c r="E9" s="44"/>
      <c r="F9" s="45"/>
      <c r="G9" s="33">
        <v>12</v>
      </c>
      <c r="H9" s="45"/>
      <c r="I9" s="33">
        <v>50000</v>
      </c>
      <c r="J9" s="33">
        <v>50000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43"/>
    </row>
    <row r="10" spans="1:19" ht="18" customHeight="1">
      <c r="A10" s="43" t="s">
        <v>1557</v>
      </c>
      <c r="B10" s="40" t="s">
        <v>1558</v>
      </c>
      <c r="C10" s="32"/>
      <c r="D10" s="40"/>
      <c r="E10" s="44"/>
      <c r="F10" s="45"/>
      <c r="G10" s="33">
        <v>12</v>
      </c>
      <c r="H10" s="45"/>
      <c r="I10" s="33">
        <v>50000</v>
      </c>
      <c r="J10" s="33">
        <v>50000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43"/>
    </row>
    <row r="11" spans="1:19" ht="20.25" customHeight="1">
      <c r="A11" s="43" t="s">
        <v>1469</v>
      </c>
      <c r="B11" s="40" t="s">
        <v>1559</v>
      </c>
      <c r="C11" s="32" t="s">
        <v>1151</v>
      </c>
      <c r="D11" s="40" t="s">
        <v>1560</v>
      </c>
      <c r="E11" s="44" t="s">
        <v>1561</v>
      </c>
      <c r="F11" s="45" t="s">
        <v>1562</v>
      </c>
      <c r="G11" s="33">
        <v>12</v>
      </c>
      <c r="H11" s="45" t="s">
        <v>1563</v>
      </c>
      <c r="I11" s="33">
        <v>50000</v>
      </c>
      <c r="J11" s="33">
        <v>50000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43"/>
    </row>
    <row r="12" spans="1:20" ht="18" customHeight="1">
      <c r="A12" s="43" t="s">
        <v>1564</v>
      </c>
      <c r="B12" s="40" t="s">
        <v>1565</v>
      </c>
      <c r="C12" s="32"/>
      <c r="D12" s="40"/>
      <c r="E12" s="44"/>
      <c r="F12" s="45"/>
      <c r="G12" s="33">
        <v>3</v>
      </c>
      <c r="H12" s="45"/>
      <c r="I12" s="33">
        <v>86468.76</v>
      </c>
      <c r="J12" s="33">
        <v>86468.76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43"/>
      <c r="T12" s="2"/>
    </row>
    <row r="13" spans="1:20" ht="18" customHeight="1">
      <c r="A13" s="43" t="s">
        <v>1566</v>
      </c>
      <c r="B13" s="40" t="s">
        <v>1567</v>
      </c>
      <c r="C13" s="32"/>
      <c r="D13" s="40"/>
      <c r="E13" s="44"/>
      <c r="F13" s="45"/>
      <c r="G13" s="33">
        <v>3</v>
      </c>
      <c r="H13" s="45"/>
      <c r="I13" s="33">
        <v>86468.76</v>
      </c>
      <c r="J13" s="33">
        <v>86468.76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43"/>
      <c r="T13" s="2"/>
    </row>
    <row r="14" spans="1:20" ht="20.25" customHeight="1">
      <c r="A14" s="43" t="s">
        <v>1469</v>
      </c>
      <c r="B14" s="40" t="s">
        <v>1568</v>
      </c>
      <c r="C14" s="32" t="s">
        <v>1146</v>
      </c>
      <c r="D14" s="40" t="s">
        <v>1569</v>
      </c>
      <c r="E14" s="44" t="s">
        <v>1570</v>
      </c>
      <c r="F14" s="45"/>
      <c r="G14" s="33">
        <v>3</v>
      </c>
      <c r="H14" s="45"/>
      <c r="I14" s="33">
        <v>86468.76</v>
      </c>
      <c r="J14" s="33">
        <v>86468.76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43"/>
      <c r="T14" s="2"/>
    </row>
    <row r="15" spans="1:20" ht="18" customHeight="1">
      <c r="A15" s="43" t="s">
        <v>1571</v>
      </c>
      <c r="B15" s="40" t="s">
        <v>1572</v>
      </c>
      <c r="C15" s="32"/>
      <c r="D15" s="40"/>
      <c r="E15" s="44"/>
      <c r="F15" s="45"/>
      <c r="G15" s="33">
        <v>15</v>
      </c>
      <c r="H15" s="45"/>
      <c r="I15" s="33">
        <v>38000</v>
      </c>
      <c r="J15" s="33">
        <v>38000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43"/>
      <c r="T15" s="2"/>
    </row>
    <row r="16" spans="1:20" ht="18" customHeight="1">
      <c r="A16" s="43" t="s">
        <v>1573</v>
      </c>
      <c r="B16" s="40" t="s">
        <v>1574</v>
      </c>
      <c r="C16" s="32"/>
      <c r="D16" s="40"/>
      <c r="E16" s="44"/>
      <c r="F16" s="45"/>
      <c r="G16" s="33">
        <v>15</v>
      </c>
      <c r="H16" s="45"/>
      <c r="I16" s="33">
        <v>38000</v>
      </c>
      <c r="J16" s="33">
        <v>38000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43"/>
      <c r="T16" s="2"/>
    </row>
    <row r="17" spans="1:19" ht="18" customHeight="1">
      <c r="A17" s="43" t="s">
        <v>1469</v>
      </c>
      <c r="B17" s="40" t="s">
        <v>1575</v>
      </c>
      <c r="C17" s="32" t="s">
        <v>1152</v>
      </c>
      <c r="D17" s="40" t="s">
        <v>1560</v>
      </c>
      <c r="E17" s="44" t="s">
        <v>1561</v>
      </c>
      <c r="F17" s="45" t="s">
        <v>1576</v>
      </c>
      <c r="G17" s="33">
        <v>5</v>
      </c>
      <c r="H17" s="45" t="s">
        <v>1563</v>
      </c>
      <c r="I17" s="33">
        <v>20000</v>
      </c>
      <c r="J17" s="33">
        <v>20000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43"/>
    </row>
    <row r="18" spans="1:19" ht="18" customHeight="1">
      <c r="A18" s="43" t="s">
        <v>1469</v>
      </c>
      <c r="B18" s="40" t="s">
        <v>1577</v>
      </c>
      <c r="C18" s="32" t="s">
        <v>1152</v>
      </c>
      <c r="D18" s="40" t="s">
        <v>1560</v>
      </c>
      <c r="E18" s="44" t="s">
        <v>1561</v>
      </c>
      <c r="F18" s="45" t="s">
        <v>1576</v>
      </c>
      <c r="G18" s="33">
        <v>3</v>
      </c>
      <c r="H18" s="45" t="s">
        <v>1563</v>
      </c>
      <c r="I18" s="33">
        <v>12000</v>
      </c>
      <c r="J18" s="33">
        <v>12000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43"/>
    </row>
    <row r="19" spans="1:19" ht="18" customHeight="1">
      <c r="A19" s="43" t="s">
        <v>1469</v>
      </c>
      <c r="B19" s="40" t="s">
        <v>1577</v>
      </c>
      <c r="C19" s="32" t="s">
        <v>1152</v>
      </c>
      <c r="D19" s="40" t="s">
        <v>1560</v>
      </c>
      <c r="E19" s="44" t="s">
        <v>1578</v>
      </c>
      <c r="F19" s="45" t="s">
        <v>1576</v>
      </c>
      <c r="G19" s="33">
        <v>2</v>
      </c>
      <c r="H19" s="45" t="s">
        <v>1563</v>
      </c>
      <c r="I19" s="33">
        <v>3000</v>
      </c>
      <c r="J19" s="33">
        <v>3000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43"/>
    </row>
    <row r="20" spans="1:19" ht="18" customHeight="1">
      <c r="A20" s="43" t="s">
        <v>1469</v>
      </c>
      <c r="B20" s="40" t="s">
        <v>1577</v>
      </c>
      <c r="C20" s="32" t="s">
        <v>1152</v>
      </c>
      <c r="D20" s="40" t="s">
        <v>1560</v>
      </c>
      <c r="E20" s="44" t="s">
        <v>1579</v>
      </c>
      <c r="F20" s="45" t="s">
        <v>1576</v>
      </c>
      <c r="G20" s="33">
        <v>5</v>
      </c>
      <c r="H20" s="45" t="s">
        <v>1580</v>
      </c>
      <c r="I20" s="33">
        <v>3000</v>
      </c>
      <c r="J20" s="33">
        <v>3000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43"/>
    </row>
    <row r="21" spans="1:19" ht="18" customHeight="1">
      <c r="A21" s="43" t="s">
        <v>1581</v>
      </c>
      <c r="B21" s="40" t="s">
        <v>1582</v>
      </c>
      <c r="C21" s="32"/>
      <c r="D21" s="40"/>
      <c r="E21" s="44"/>
      <c r="F21" s="45"/>
      <c r="G21" s="33">
        <v>11</v>
      </c>
      <c r="H21" s="45"/>
      <c r="I21" s="33">
        <v>50000</v>
      </c>
      <c r="J21" s="33">
        <v>50000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43"/>
    </row>
    <row r="22" spans="1:19" ht="18" customHeight="1">
      <c r="A22" s="43" t="s">
        <v>1583</v>
      </c>
      <c r="B22" s="40" t="s">
        <v>1584</v>
      </c>
      <c r="C22" s="32"/>
      <c r="D22" s="40"/>
      <c r="E22" s="44"/>
      <c r="F22" s="45"/>
      <c r="G22" s="33">
        <v>11</v>
      </c>
      <c r="H22" s="45"/>
      <c r="I22" s="33">
        <v>50000</v>
      </c>
      <c r="J22" s="33">
        <v>50000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43"/>
    </row>
    <row r="23" spans="1:19" ht="20.25" customHeight="1">
      <c r="A23" s="43" t="s">
        <v>1469</v>
      </c>
      <c r="B23" s="40" t="s">
        <v>1559</v>
      </c>
      <c r="C23" s="32" t="s">
        <v>1151</v>
      </c>
      <c r="D23" s="40" t="s">
        <v>1560</v>
      </c>
      <c r="E23" s="44" t="s">
        <v>1561</v>
      </c>
      <c r="F23" s="45" t="s">
        <v>1562</v>
      </c>
      <c r="G23" s="33">
        <v>4</v>
      </c>
      <c r="H23" s="45" t="s">
        <v>1563</v>
      </c>
      <c r="I23" s="33">
        <v>20000</v>
      </c>
      <c r="J23" s="33">
        <v>20000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43"/>
    </row>
    <row r="24" spans="1:19" ht="20.25" customHeight="1">
      <c r="A24" s="43" t="s">
        <v>1469</v>
      </c>
      <c r="B24" s="40" t="s">
        <v>1559</v>
      </c>
      <c r="C24" s="32" t="s">
        <v>1151</v>
      </c>
      <c r="D24" s="40" t="s">
        <v>1560</v>
      </c>
      <c r="E24" s="44" t="s">
        <v>1585</v>
      </c>
      <c r="F24" s="45" t="s">
        <v>1562</v>
      </c>
      <c r="G24" s="33">
        <v>3</v>
      </c>
      <c r="H24" s="45" t="s">
        <v>1563</v>
      </c>
      <c r="I24" s="33">
        <v>20000</v>
      </c>
      <c r="J24" s="33">
        <v>20000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43"/>
    </row>
    <row r="25" spans="1:19" ht="20.25" customHeight="1">
      <c r="A25" s="43" t="s">
        <v>1469</v>
      </c>
      <c r="B25" s="40" t="s">
        <v>1559</v>
      </c>
      <c r="C25" s="32" t="s">
        <v>1151</v>
      </c>
      <c r="D25" s="40" t="s">
        <v>1560</v>
      </c>
      <c r="E25" s="44" t="s">
        <v>1578</v>
      </c>
      <c r="F25" s="45" t="s">
        <v>1562</v>
      </c>
      <c r="G25" s="33">
        <v>4</v>
      </c>
      <c r="H25" s="45" t="s">
        <v>1563</v>
      </c>
      <c r="I25" s="33">
        <v>10000</v>
      </c>
      <c r="J25" s="33">
        <v>10000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43"/>
    </row>
    <row r="26" spans="1:19" ht="18" customHeight="1">
      <c r="A26" s="43" t="s">
        <v>1586</v>
      </c>
      <c r="B26" s="40" t="s">
        <v>1587</v>
      </c>
      <c r="C26" s="32"/>
      <c r="D26" s="40"/>
      <c r="E26" s="44"/>
      <c r="F26" s="45"/>
      <c r="G26" s="33">
        <v>2</v>
      </c>
      <c r="H26" s="45"/>
      <c r="I26" s="33">
        <v>64500</v>
      </c>
      <c r="J26" s="33">
        <v>64500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43"/>
    </row>
    <row r="27" spans="1:19" ht="18" customHeight="1">
      <c r="A27" s="43" t="s">
        <v>1588</v>
      </c>
      <c r="B27" s="40" t="s">
        <v>1589</v>
      </c>
      <c r="C27" s="32"/>
      <c r="D27" s="40"/>
      <c r="E27" s="44"/>
      <c r="F27" s="45"/>
      <c r="G27" s="33">
        <v>2</v>
      </c>
      <c r="H27" s="45"/>
      <c r="I27" s="33">
        <v>64500</v>
      </c>
      <c r="J27" s="33">
        <v>64500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43"/>
    </row>
    <row r="28" spans="1:19" ht="20.25" customHeight="1">
      <c r="A28" s="43" t="s">
        <v>1469</v>
      </c>
      <c r="B28" s="40" t="s">
        <v>1590</v>
      </c>
      <c r="C28" s="32" t="s">
        <v>1152</v>
      </c>
      <c r="D28" s="40" t="s">
        <v>1569</v>
      </c>
      <c r="E28" s="44" t="s">
        <v>1591</v>
      </c>
      <c r="F28" s="45" t="s">
        <v>1576</v>
      </c>
      <c r="G28" s="33">
        <v>1</v>
      </c>
      <c r="H28" s="45" t="s">
        <v>1580</v>
      </c>
      <c r="I28" s="33">
        <v>14500</v>
      </c>
      <c r="J28" s="33">
        <v>14500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43"/>
    </row>
    <row r="29" spans="1:19" ht="20.25" customHeight="1">
      <c r="A29" s="43" t="s">
        <v>1469</v>
      </c>
      <c r="B29" s="40" t="s">
        <v>1592</v>
      </c>
      <c r="C29" s="32" t="s">
        <v>1152</v>
      </c>
      <c r="D29" s="40" t="s">
        <v>1569</v>
      </c>
      <c r="E29" s="44" t="s">
        <v>1593</v>
      </c>
      <c r="F29" s="45" t="s">
        <v>1576</v>
      </c>
      <c r="G29" s="33">
        <v>1</v>
      </c>
      <c r="H29" s="45" t="s">
        <v>1580</v>
      </c>
      <c r="I29" s="33">
        <v>50000</v>
      </c>
      <c r="J29" s="33">
        <v>50000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43"/>
    </row>
    <row r="30" spans="1:19" ht="18" customHeight="1">
      <c r="A30" s="43" t="s">
        <v>1594</v>
      </c>
      <c r="B30" s="40" t="s">
        <v>1595</v>
      </c>
      <c r="C30" s="32"/>
      <c r="D30" s="40"/>
      <c r="E30" s="44"/>
      <c r="F30" s="45"/>
      <c r="G30" s="33">
        <v>0</v>
      </c>
      <c r="H30" s="45"/>
      <c r="I30" s="33">
        <v>25000</v>
      </c>
      <c r="J30" s="33">
        <v>25000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43"/>
    </row>
    <row r="31" spans="1:19" ht="18" customHeight="1">
      <c r="A31" s="43" t="s">
        <v>1596</v>
      </c>
      <c r="B31" s="40" t="s">
        <v>1597</v>
      </c>
      <c r="C31" s="32"/>
      <c r="D31" s="40"/>
      <c r="E31" s="44"/>
      <c r="F31" s="45"/>
      <c r="G31" s="33">
        <v>0</v>
      </c>
      <c r="H31" s="45"/>
      <c r="I31" s="33">
        <v>25000</v>
      </c>
      <c r="J31" s="33">
        <v>25000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43"/>
    </row>
    <row r="32" spans="1:19" ht="18" customHeight="1">
      <c r="A32" s="43" t="s">
        <v>1469</v>
      </c>
      <c r="B32" s="40" t="s">
        <v>1598</v>
      </c>
      <c r="C32" s="32" t="s">
        <v>1599</v>
      </c>
      <c r="D32" s="40" t="s">
        <v>1569</v>
      </c>
      <c r="E32" s="44"/>
      <c r="F32" s="45" t="s">
        <v>1576</v>
      </c>
      <c r="G32" s="33">
        <v>0</v>
      </c>
      <c r="H32" s="45"/>
      <c r="I32" s="33">
        <v>15000</v>
      </c>
      <c r="J32" s="33">
        <v>15000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43"/>
    </row>
    <row r="33" spans="1:19" ht="18" customHeight="1">
      <c r="A33" s="43" t="s">
        <v>1469</v>
      </c>
      <c r="B33" s="40" t="s">
        <v>1598</v>
      </c>
      <c r="C33" s="32" t="s">
        <v>1600</v>
      </c>
      <c r="D33" s="40" t="s">
        <v>1560</v>
      </c>
      <c r="E33" s="44"/>
      <c r="F33" s="45" t="s">
        <v>1576</v>
      </c>
      <c r="G33" s="33">
        <v>0</v>
      </c>
      <c r="H33" s="45"/>
      <c r="I33" s="33">
        <v>10000</v>
      </c>
      <c r="J33" s="33">
        <v>10000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43"/>
    </row>
    <row r="34" spans="1:19" ht="18" customHeight="1">
      <c r="A34" s="43" t="s">
        <v>1480</v>
      </c>
      <c r="B34" s="40" t="s">
        <v>1481</v>
      </c>
      <c r="C34" s="32"/>
      <c r="D34" s="40"/>
      <c r="E34" s="44"/>
      <c r="F34" s="45"/>
      <c r="G34" s="33">
        <v>0</v>
      </c>
      <c r="H34" s="45"/>
      <c r="I34" s="33">
        <v>50000</v>
      </c>
      <c r="J34" s="33">
        <v>0</v>
      </c>
      <c r="K34" s="33">
        <v>0</v>
      </c>
      <c r="L34" s="33">
        <v>50000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43"/>
    </row>
    <row r="35" spans="1:19" ht="18" customHeight="1">
      <c r="A35" s="43" t="s">
        <v>1482</v>
      </c>
      <c r="B35" s="40" t="s">
        <v>1483</v>
      </c>
      <c r="C35" s="32"/>
      <c r="D35" s="40"/>
      <c r="E35" s="44"/>
      <c r="F35" s="45"/>
      <c r="G35" s="33">
        <v>0</v>
      </c>
      <c r="H35" s="45"/>
      <c r="I35" s="33">
        <v>50000</v>
      </c>
      <c r="J35" s="33">
        <v>0</v>
      </c>
      <c r="K35" s="33">
        <v>0</v>
      </c>
      <c r="L35" s="33">
        <v>50000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43"/>
    </row>
    <row r="36" spans="1:19" ht="20.25" customHeight="1">
      <c r="A36" s="43" t="s">
        <v>1469</v>
      </c>
      <c r="B36" s="40" t="s">
        <v>1601</v>
      </c>
      <c r="C36" s="32" t="s">
        <v>1151</v>
      </c>
      <c r="D36" s="40" t="s">
        <v>1602</v>
      </c>
      <c r="E36" s="44" t="s">
        <v>1603</v>
      </c>
      <c r="F36" s="45" t="s">
        <v>1562</v>
      </c>
      <c r="G36" s="33">
        <v>0</v>
      </c>
      <c r="H36" s="45"/>
      <c r="I36" s="33">
        <v>50000</v>
      </c>
      <c r="J36" s="33">
        <v>0</v>
      </c>
      <c r="K36" s="33">
        <v>0</v>
      </c>
      <c r="L36" s="33">
        <v>50000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43"/>
    </row>
    <row r="37" spans="1:19" ht="18" customHeight="1">
      <c r="A37" s="43" t="s">
        <v>1524</v>
      </c>
      <c r="B37" s="40" t="s">
        <v>1525</v>
      </c>
      <c r="C37" s="32"/>
      <c r="D37" s="40"/>
      <c r="E37" s="44"/>
      <c r="F37" s="45"/>
      <c r="G37" s="33">
        <v>12</v>
      </c>
      <c r="H37" s="45"/>
      <c r="I37" s="33">
        <v>11050</v>
      </c>
      <c r="J37" s="33">
        <v>0</v>
      </c>
      <c r="K37" s="33">
        <v>11050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43"/>
    </row>
    <row r="38" spans="1:19" ht="18" customHeight="1">
      <c r="A38" s="43" t="s">
        <v>1526</v>
      </c>
      <c r="B38" s="40" t="s">
        <v>1527</v>
      </c>
      <c r="C38" s="32"/>
      <c r="D38" s="40"/>
      <c r="E38" s="44"/>
      <c r="F38" s="45"/>
      <c r="G38" s="33">
        <v>12</v>
      </c>
      <c r="H38" s="45"/>
      <c r="I38" s="33">
        <v>11050</v>
      </c>
      <c r="J38" s="33">
        <v>0</v>
      </c>
      <c r="K38" s="33">
        <v>11050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43"/>
    </row>
    <row r="39" spans="1:19" ht="20.25" customHeight="1">
      <c r="A39" s="43" t="s">
        <v>1469</v>
      </c>
      <c r="B39" s="40" t="s">
        <v>1604</v>
      </c>
      <c r="C39" s="32" t="s">
        <v>1151</v>
      </c>
      <c r="D39" s="40" t="s">
        <v>1560</v>
      </c>
      <c r="E39" s="44" t="s">
        <v>1561</v>
      </c>
      <c r="F39" s="45" t="s">
        <v>1562</v>
      </c>
      <c r="G39" s="33">
        <v>1</v>
      </c>
      <c r="H39" s="45" t="s">
        <v>1563</v>
      </c>
      <c r="I39" s="33">
        <v>5000</v>
      </c>
      <c r="J39" s="33">
        <v>0</v>
      </c>
      <c r="K39" s="33">
        <v>5000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43"/>
    </row>
    <row r="40" spans="1:19" ht="20.25" customHeight="1">
      <c r="A40" s="43" t="s">
        <v>1469</v>
      </c>
      <c r="B40" s="40" t="s">
        <v>1604</v>
      </c>
      <c r="C40" s="32" t="s">
        <v>1151</v>
      </c>
      <c r="D40" s="40" t="s">
        <v>1560</v>
      </c>
      <c r="E40" s="44" t="s">
        <v>1605</v>
      </c>
      <c r="F40" s="45" t="s">
        <v>1562</v>
      </c>
      <c r="G40" s="33">
        <v>11</v>
      </c>
      <c r="H40" s="45"/>
      <c r="I40" s="33">
        <v>6050</v>
      </c>
      <c r="J40" s="33">
        <v>0</v>
      </c>
      <c r="K40" s="33">
        <v>6050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43"/>
    </row>
    <row r="41" spans="1:19" ht="18" customHeight="1">
      <c r="A41" s="43" t="s">
        <v>1606</v>
      </c>
      <c r="B41" s="40" t="s">
        <v>1607</v>
      </c>
      <c r="C41" s="32"/>
      <c r="D41" s="40"/>
      <c r="E41" s="44"/>
      <c r="F41" s="45"/>
      <c r="G41" s="33">
        <v>0</v>
      </c>
      <c r="H41" s="45"/>
      <c r="I41" s="33">
        <v>252136.92</v>
      </c>
      <c r="J41" s="33">
        <v>252136.92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43"/>
    </row>
    <row r="42" spans="1:19" ht="18" customHeight="1">
      <c r="A42" s="43" t="s">
        <v>1608</v>
      </c>
      <c r="B42" s="40" t="s">
        <v>1609</v>
      </c>
      <c r="C42" s="32"/>
      <c r="D42" s="40"/>
      <c r="E42" s="44"/>
      <c r="F42" s="45"/>
      <c r="G42" s="33">
        <v>0</v>
      </c>
      <c r="H42" s="45"/>
      <c r="I42" s="33">
        <v>252136.92</v>
      </c>
      <c r="J42" s="33">
        <v>252136.92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43"/>
    </row>
    <row r="43" spans="1:19" ht="20.25" customHeight="1">
      <c r="A43" s="43" t="s">
        <v>1469</v>
      </c>
      <c r="B43" s="40" t="s">
        <v>1610</v>
      </c>
      <c r="C43" s="32" t="s">
        <v>1146</v>
      </c>
      <c r="D43" s="40" t="s">
        <v>1560</v>
      </c>
      <c r="E43" s="44" t="s">
        <v>1611</v>
      </c>
      <c r="F43" s="45"/>
      <c r="G43" s="33">
        <v>0</v>
      </c>
      <c r="H43" s="45"/>
      <c r="I43" s="33">
        <v>80000</v>
      </c>
      <c r="J43" s="33">
        <v>80000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43"/>
    </row>
    <row r="44" spans="1:19" ht="20.25" customHeight="1">
      <c r="A44" s="43" t="s">
        <v>1469</v>
      </c>
      <c r="B44" s="40" t="s">
        <v>1568</v>
      </c>
      <c r="C44" s="32" t="s">
        <v>1146</v>
      </c>
      <c r="D44" s="40" t="s">
        <v>1569</v>
      </c>
      <c r="E44" s="44" t="s">
        <v>1570</v>
      </c>
      <c r="F44" s="45" t="s">
        <v>1562</v>
      </c>
      <c r="G44" s="33">
        <v>0</v>
      </c>
      <c r="H44" s="45"/>
      <c r="I44" s="33">
        <v>172136.92</v>
      </c>
      <c r="J44" s="33">
        <v>172136.92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43"/>
    </row>
    <row r="45" spans="1:19" ht="18" customHeight="1">
      <c r="A45" s="43" t="s">
        <v>1612</v>
      </c>
      <c r="B45" s="40" t="s">
        <v>1613</v>
      </c>
      <c r="C45" s="32"/>
      <c r="D45" s="40"/>
      <c r="E45" s="44"/>
      <c r="F45" s="45"/>
      <c r="G45" s="33">
        <v>0</v>
      </c>
      <c r="H45" s="45"/>
      <c r="I45" s="33">
        <v>172136</v>
      </c>
      <c r="J45" s="33">
        <v>172136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43"/>
    </row>
    <row r="46" spans="1:19" ht="18" customHeight="1">
      <c r="A46" s="43" t="s">
        <v>1614</v>
      </c>
      <c r="B46" s="40" t="s">
        <v>1615</v>
      </c>
      <c r="C46" s="32"/>
      <c r="D46" s="40"/>
      <c r="E46" s="44"/>
      <c r="F46" s="45"/>
      <c r="G46" s="33">
        <v>0</v>
      </c>
      <c r="H46" s="45"/>
      <c r="I46" s="33">
        <v>172136</v>
      </c>
      <c r="J46" s="33">
        <v>172136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43"/>
    </row>
    <row r="47" spans="1:19" ht="20.25" customHeight="1">
      <c r="A47" s="43" t="s">
        <v>1469</v>
      </c>
      <c r="B47" s="40" t="s">
        <v>1568</v>
      </c>
      <c r="C47" s="32" t="s">
        <v>1146</v>
      </c>
      <c r="D47" s="40" t="s">
        <v>1569</v>
      </c>
      <c r="E47" s="44" t="s">
        <v>1570</v>
      </c>
      <c r="F47" s="45" t="s">
        <v>1562</v>
      </c>
      <c r="G47" s="33">
        <v>0</v>
      </c>
      <c r="H47" s="45"/>
      <c r="I47" s="33">
        <v>172136</v>
      </c>
      <c r="J47" s="33">
        <v>172136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43"/>
    </row>
  </sheetData>
  <sheetProtection/>
  <mergeCells count="14"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P5:P6"/>
    <mergeCell ref="Q5:Q6"/>
    <mergeCell ref="R5:R6"/>
    <mergeCell ref="S4:S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17" style="0" customWidth="1"/>
    <col min="2" max="2" width="40" style="0" customWidth="1"/>
    <col min="3" max="3" width="32.66015625" style="0" customWidth="1"/>
    <col min="4" max="4" width="31.83203125" style="0" customWidth="1"/>
    <col min="5" max="7" width="18.5" style="0" customWidth="1"/>
    <col min="8" max="9" width="14" style="0" customWidth="1"/>
    <col min="10" max="10" width="16.16015625" style="0" customWidth="1"/>
    <col min="11" max="11" width="18.5" style="0" customWidth="1"/>
    <col min="12" max="12" width="16.66015625" style="0" customWidth="1"/>
    <col min="13" max="13" width="14.16015625" style="0" customWidth="1"/>
    <col min="14" max="14" width="11.33203125" style="0" customWidth="1"/>
    <col min="15" max="15" width="30" style="0" customWidth="1"/>
    <col min="16" max="16" width="9.16015625" style="0" customWidth="1"/>
  </cols>
  <sheetData>
    <row r="1" spans="1:15" ht="9.75" customHeight="1">
      <c r="A1" s="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.75" customHeight="1">
      <c r="A2" s="17" t="s">
        <v>1616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>
      <c r="A3" s="18"/>
      <c r="B3" s="18"/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34" t="s">
        <v>1406</v>
      </c>
    </row>
    <row r="4" spans="1:15" ht="18" customHeight="1">
      <c r="A4" s="20" t="s">
        <v>1441</v>
      </c>
      <c r="B4" s="20" t="s">
        <v>1442</v>
      </c>
      <c r="C4" s="20" t="s">
        <v>1617</v>
      </c>
      <c r="D4" s="21" t="s">
        <v>1618</v>
      </c>
      <c r="E4" s="22" t="s">
        <v>1546</v>
      </c>
      <c r="F4" s="23"/>
      <c r="G4" s="24"/>
      <c r="H4" s="24"/>
      <c r="I4" s="24"/>
      <c r="J4" s="24"/>
      <c r="K4" s="24"/>
      <c r="L4" s="23"/>
      <c r="M4" s="23"/>
      <c r="N4" s="35"/>
      <c r="O4" s="36" t="s">
        <v>36</v>
      </c>
    </row>
    <row r="5" spans="1:15" ht="18" customHeight="1">
      <c r="A5" s="20"/>
      <c r="B5" s="20"/>
      <c r="C5" s="20"/>
      <c r="D5" s="20"/>
      <c r="E5" s="25" t="s">
        <v>1144</v>
      </c>
      <c r="F5" s="26" t="s">
        <v>1548</v>
      </c>
      <c r="G5" s="22" t="s">
        <v>1549</v>
      </c>
      <c r="H5" s="23"/>
      <c r="I5" s="23"/>
      <c r="J5" s="23"/>
      <c r="K5" s="35"/>
      <c r="L5" s="37" t="s">
        <v>1550</v>
      </c>
      <c r="M5" s="27" t="s">
        <v>1449</v>
      </c>
      <c r="N5" s="27" t="s">
        <v>1450</v>
      </c>
      <c r="O5" s="20"/>
    </row>
    <row r="6" spans="1:15" ht="25.5" customHeight="1">
      <c r="A6" s="20"/>
      <c r="B6" s="20"/>
      <c r="C6" s="20"/>
      <c r="D6" s="20"/>
      <c r="E6" s="20"/>
      <c r="F6" s="20"/>
      <c r="G6" s="27" t="s">
        <v>1551</v>
      </c>
      <c r="H6" s="27" t="s">
        <v>1552</v>
      </c>
      <c r="I6" s="27" t="s">
        <v>1553</v>
      </c>
      <c r="J6" s="27" t="s">
        <v>1554</v>
      </c>
      <c r="K6" s="27" t="s">
        <v>1447</v>
      </c>
      <c r="L6" s="38"/>
      <c r="M6" s="38"/>
      <c r="N6" s="38"/>
      <c r="O6" s="20"/>
    </row>
    <row r="7" spans="1:15" ht="18" customHeight="1">
      <c r="A7" s="28" t="s">
        <v>1408</v>
      </c>
      <c r="B7" s="29" t="s">
        <v>1408</v>
      </c>
      <c r="C7" s="29" t="s">
        <v>1408</v>
      </c>
      <c r="D7" s="28" t="s">
        <v>1408</v>
      </c>
      <c r="E7" s="30">
        <v>1</v>
      </c>
      <c r="F7" s="30">
        <v>2</v>
      </c>
      <c r="G7" s="30">
        <v>3</v>
      </c>
      <c r="H7" s="30">
        <v>4</v>
      </c>
      <c r="I7" s="30">
        <v>5</v>
      </c>
      <c r="J7" s="30">
        <v>6</v>
      </c>
      <c r="K7" s="30">
        <v>7</v>
      </c>
      <c r="L7" s="30">
        <v>8</v>
      </c>
      <c r="M7" s="30">
        <v>9</v>
      </c>
      <c r="N7" s="30">
        <v>10</v>
      </c>
      <c r="O7" s="39" t="s">
        <v>1408</v>
      </c>
    </row>
    <row r="8" spans="1:15" ht="18" customHeight="1">
      <c r="A8" s="31"/>
      <c r="B8" s="32" t="s">
        <v>1132</v>
      </c>
      <c r="C8" s="32"/>
      <c r="D8" s="32"/>
      <c r="E8" s="33">
        <v>3651317.68</v>
      </c>
      <c r="F8" s="33">
        <v>3651317.68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40"/>
    </row>
    <row r="9" spans="1:15" ht="18" customHeight="1">
      <c r="A9" s="31" t="s">
        <v>1619</v>
      </c>
      <c r="B9" s="32" t="s">
        <v>1620</v>
      </c>
      <c r="C9" s="32"/>
      <c r="D9" s="32"/>
      <c r="E9" s="33">
        <v>950000</v>
      </c>
      <c r="F9" s="33">
        <v>950000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40"/>
    </row>
    <row r="10" spans="1:15" ht="18" customHeight="1">
      <c r="A10" s="31" t="s">
        <v>1621</v>
      </c>
      <c r="B10" s="32" t="s">
        <v>1622</v>
      </c>
      <c r="C10" s="32"/>
      <c r="D10" s="32"/>
      <c r="E10" s="33">
        <v>950000</v>
      </c>
      <c r="F10" s="33">
        <v>950000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40"/>
    </row>
    <row r="11" spans="1:15" ht="18" customHeight="1">
      <c r="A11" s="31" t="s">
        <v>1469</v>
      </c>
      <c r="B11" s="32" t="s">
        <v>1568</v>
      </c>
      <c r="C11" s="32" t="s">
        <v>1623</v>
      </c>
      <c r="D11" s="32"/>
      <c r="E11" s="33">
        <v>950000</v>
      </c>
      <c r="F11" s="33">
        <v>950000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40"/>
    </row>
    <row r="12" spans="1:16" ht="18" customHeight="1">
      <c r="A12" s="31" t="s">
        <v>1564</v>
      </c>
      <c r="B12" s="32" t="s">
        <v>1565</v>
      </c>
      <c r="C12" s="32"/>
      <c r="D12" s="32"/>
      <c r="E12" s="33">
        <v>86468.76</v>
      </c>
      <c r="F12" s="33">
        <v>86468.76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40"/>
      <c r="P12" s="2"/>
    </row>
    <row r="13" spans="1:16" ht="18" customHeight="1">
      <c r="A13" s="31" t="s">
        <v>1566</v>
      </c>
      <c r="B13" s="32" t="s">
        <v>1567</v>
      </c>
      <c r="C13" s="32"/>
      <c r="D13" s="32"/>
      <c r="E13" s="33">
        <v>86468.76</v>
      </c>
      <c r="F13" s="33">
        <v>86468.76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40"/>
      <c r="P13" s="2"/>
    </row>
    <row r="14" spans="1:16" ht="20.25" customHeight="1">
      <c r="A14" s="31" t="s">
        <v>1469</v>
      </c>
      <c r="B14" s="32" t="s">
        <v>1568</v>
      </c>
      <c r="C14" s="32" t="s">
        <v>1624</v>
      </c>
      <c r="D14" s="32" t="s">
        <v>1625</v>
      </c>
      <c r="E14" s="33">
        <v>86468.76</v>
      </c>
      <c r="F14" s="33">
        <v>86468.76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0"/>
      <c r="P14" s="2"/>
    </row>
    <row r="15" spans="1:16" ht="18" customHeight="1">
      <c r="A15" s="31" t="s">
        <v>1586</v>
      </c>
      <c r="B15" s="32" t="s">
        <v>1587</v>
      </c>
      <c r="C15" s="32"/>
      <c r="D15" s="32"/>
      <c r="E15" s="33">
        <v>64500</v>
      </c>
      <c r="F15" s="33">
        <v>64500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40"/>
      <c r="P15" s="2"/>
    </row>
    <row r="16" spans="1:16" ht="18" customHeight="1">
      <c r="A16" s="31" t="s">
        <v>1588</v>
      </c>
      <c r="B16" s="32" t="s">
        <v>1589</v>
      </c>
      <c r="C16" s="32"/>
      <c r="D16" s="32"/>
      <c r="E16" s="33">
        <v>64500</v>
      </c>
      <c r="F16" s="33">
        <v>64500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40"/>
      <c r="P16" s="2"/>
    </row>
    <row r="17" spans="1:15" ht="18" customHeight="1">
      <c r="A17" s="31" t="s">
        <v>1469</v>
      </c>
      <c r="B17" s="32" t="s">
        <v>1590</v>
      </c>
      <c r="C17" s="32" t="s">
        <v>1626</v>
      </c>
      <c r="D17" s="32"/>
      <c r="E17" s="33">
        <v>14500</v>
      </c>
      <c r="F17" s="33">
        <v>14500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40"/>
    </row>
    <row r="18" spans="1:15" ht="20.25" customHeight="1">
      <c r="A18" s="31" t="s">
        <v>1469</v>
      </c>
      <c r="B18" s="32" t="s">
        <v>1592</v>
      </c>
      <c r="C18" s="32"/>
      <c r="D18" s="32"/>
      <c r="E18" s="33">
        <v>50000</v>
      </c>
      <c r="F18" s="33">
        <v>50000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40"/>
    </row>
    <row r="19" spans="1:15" ht="18" customHeight="1">
      <c r="A19" s="31" t="s">
        <v>1507</v>
      </c>
      <c r="B19" s="32" t="s">
        <v>1508</v>
      </c>
      <c r="C19" s="32"/>
      <c r="D19" s="32"/>
      <c r="E19" s="33">
        <v>500000</v>
      </c>
      <c r="F19" s="33">
        <v>500000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0"/>
    </row>
    <row r="20" spans="1:15" ht="18" customHeight="1">
      <c r="A20" s="31" t="s">
        <v>1509</v>
      </c>
      <c r="B20" s="32" t="s">
        <v>1510</v>
      </c>
      <c r="C20" s="32"/>
      <c r="D20" s="32"/>
      <c r="E20" s="33">
        <v>500000</v>
      </c>
      <c r="F20" s="33">
        <v>500000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40"/>
    </row>
    <row r="21" spans="1:15" ht="20.25" customHeight="1">
      <c r="A21" s="31" t="s">
        <v>1469</v>
      </c>
      <c r="B21" s="32" t="s">
        <v>1627</v>
      </c>
      <c r="C21" s="32" t="s">
        <v>1628</v>
      </c>
      <c r="D21" s="32"/>
      <c r="E21" s="33">
        <v>500000</v>
      </c>
      <c r="F21" s="33">
        <v>500000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40"/>
    </row>
    <row r="22" spans="1:15" ht="18" customHeight="1">
      <c r="A22" s="31" t="s">
        <v>1512</v>
      </c>
      <c r="B22" s="32" t="s">
        <v>1513</v>
      </c>
      <c r="C22" s="32"/>
      <c r="D22" s="32"/>
      <c r="E22" s="33">
        <v>787100</v>
      </c>
      <c r="F22" s="33">
        <v>787100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40"/>
    </row>
    <row r="23" spans="1:15" ht="18" customHeight="1">
      <c r="A23" s="31" t="s">
        <v>1514</v>
      </c>
      <c r="B23" s="32" t="s">
        <v>1515</v>
      </c>
      <c r="C23" s="32"/>
      <c r="D23" s="32"/>
      <c r="E23" s="33">
        <v>787100</v>
      </c>
      <c r="F23" s="33">
        <v>787100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40"/>
    </row>
    <row r="24" spans="1:15" ht="20.25" customHeight="1">
      <c r="A24" s="31" t="s">
        <v>1469</v>
      </c>
      <c r="B24" s="32" t="s">
        <v>1629</v>
      </c>
      <c r="C24" s="32" t="s">
        <v>1630</v>
      </c>
      <c r="D24" s="32" t="s">
        <v>1631</v>
      </c>
      <c r="E24" s="33">
        <v>60000</v>
      </c>
      <c r="F24" s="33">
        <v>60000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0"/>
    </row>
    <row r="25" spans="1:15" ht="20.25" customHeight="1">
      <c r="A25" s="31" t="s">
        <v>1469</v>
      </c>
      <c r="B25" s="32" t="s">
        <v>1629</v>
      </c>
      <c r="C25" s="32"/>
      <c r="D25" s="32" t="s">
        <v>1632</v>
      </c>
      <c r="E25" s="33">
        <v>30000</v>
      </c>
      <c r="F25" s="33">
        <v>30000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40"/>
    </row>
    <row r="26" spans="1:15" ht="20.25" customHeight="1">
      <c r="A26" s="31" t="s">
        <v>1469</v>
      </c>
      <c r="B26" s="32" t="s">
        <v>1629</v>
      </c>
      <c r="C26" s="32"/>
      <c r="D26" s="32" t="s">
        <v>1633</v>
      </c>
      <c r="E26" s="33">
        <v>250000</v>
      </c>
      <c r="F26" s="33">
        <v>250000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40"/>
    </row>
    <row r="27" spans="1:15" ht="20.25" customHeight="1">
      <c r="A27" s="31" t="s">
        <v>1469</v>
      </c>
      <c r="B27" s="32" t="s">
        <v>1629</v>
      </c>
      <c r="C27" s="32"/>
      <c r="D27" s="32" t="s">
        <v>1634</v>
      </c>
      <c r="E27" s="33">
        <v>343100</v>
      </c>
      <c r="F27" s="33">
        <v>343100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40"/>
    </row>
    <row r="28" spans="1:15" ht="20.25" customHeight="1">
      <c r="A28" s="31" t="s">
        <v>1469</v>
      </c>
      <c r="B28" s="32" t="s">
        <v>1629</v>
      </c>
      <c r="C28" s="32"/>
      <c r="D28" s="32" t="s">
        <v>1635</v>
      </c>
      <c r="E28" s="33">
        <v>104000</v>
      </c>
      <c r="F28" s="33">
        <v>104000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40"/>
    </row>
    <row r="29" spans="1:15" ht="18" customHeight="1">
      <c r="A29" s="31" t="s">
        <v>1516</v>
      </c>
      <c r="B29" s="32" t="s">
        <v>1517</v>
      </c>
      <c r="C29" s="32"/>
      <c r="D29" s="32"/>
      <c r="E29" s="33">
        <v>488976</v>
      </c>
      <c r="F29" s="33">
        <v>488976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0"/>
    </row>
    <row r="30" spans="1:15" ht="18" customHeight="1">
      <c r="A30" s="31" t="s">
        <v>1518</v>
      </c>
      <c r="B30" s="32" t="s">
        <v>1519</v>
      </c>
      <c r="C30" s="32"/>
      <c r="D30" s="32"/>
      <c r="E30" s="33">
        <v>488976</v>
      </c>
      <c r="F30" s="33">
        <v>488976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40"/>
    </row>
    <row r="31" spans="1:15" ht="20.25" customHeight="1">
      <c r="A31" s="31" t="s">
        <v>1469</v>
      </c>
      <c r="B31" s="32" t="s">
        <v>1636</v>
      </c>
      <c r="C31" s="32" t="s">
        <v>1628</v>
      </c>
      <c r="D31" s="32"/>
      <c r="E31" s="33">
        <v>488976</v>
      </c>
      <c r="F31" s="33">
        <v>488976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40"/>
    </row>
    <row r="32" spans="1:15" ht="18" customHeight="1">
      <c r="A32" s="31" t="s">
        <v>1637</v>
      </c>
      <c r="B32" s="32" t="s">
        <v>1638</v>
      </c>
      <c r="C32" s="32"/>
      <c r="D32" s="32"/>
      <c r="E32" s="33">
        <v>350000</v>
      </c>
      <c r="F32" s="33">
        <v>350000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40"/>
    </row>
    <row r="33" spans="1:15" ht="18" customHeight="1">
      <c r="A33" s="31" t="s">
        <v>1639</v>
      </c>
      <c r="B33" s="32" t="s">
        <v>1640</v>
      </c>
      <c r="C33" s="32"/>
      <c r="D33" s="32"/>
      <c r="E33" s="33">
        <v>350000</v>
      </c>
      <c r="F33" s="33">
        <v>350000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40"/>
    </row>
    <row r="34" spans="1:15" ht="20.25" customHeight="1">
      <c r="A34" s="31" t="s">
        <v>1469</v>
      </c>
      <c r="B34" s="32" t="s">
        <v>1568</v>
      </c>
      <c r="C34" s="32" t="s">
        <v>1628</v>
      </c>
      <c r="D34" s="32"/>
      <c r="E34" s="33">
        <v>350000</v>
      </c>
      <c r="F34" s="33">
        <v>350000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0"/>
    </row>
    <row r="35" spans="1:15" ht="18" customHeight="1">
      <c r="A35" s="31" t="s">
        <v>1606</v>
      </c>
      <c r="B35" s="32" t="s">
        <v>1607</v>
      </c>
      <c r="C35" s="32"/>
      <c r="D35" s="32"/>
      <c r="E35" s="33">
        <v>252136.92</v>
      </c>
      <c r="F35" s="33">
        <v>252136.92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40"/>
    </row>
    <row r="36" spans="1:15" ht="18" customHeight="1">
      <c r="A36" s="31" t="s">
        <v>1608</v>
      </c>
      <c r="B36" s="32" t="s">
        <v>1609</v>
      </c>
      <c r="C36" s="32"/>
      <c r="D36" s="32"/>
      <c r="E36" s="33">
        <v>252136.92</v>
      </c>
      <c r="F36" s="33">
        <v>252136.92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40"/>
    </row>
    <row r="37" spans="1:15" ht="18" customHeight="1">
      <c r="A37" s="31" t="s">
        <v>1469</v>
      </c>
      <c r="B37" s="32" t="s">
        <v>1610</v>
      </c>
      <c r="C37" s="32" t="s">
        <v>1641</v>
      </c>
      <c r="D37" s="32"/>
      <c r="E37" s="33">
        <v>80000</v>
      </c>
      <c r="F37" s="33">
        <v>80000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40"/>
    </row>
    <row r="38" spans="1:15" ht="18" customHeight="1">
      <c r="A38" s="31" t="s">
        <v>1469</v>
      </c>
      <c r="B38" s="32" t="s">
        <v>1568</v>
      </c>
      <c r="C38" s="32"/>
      <c r="D38" s="32"/>
      <c r="E38" s="33">
        <v>172136.92</v>
      </c>
      <c r="F38" s="33">
        <v>172136.92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40"/>
    </row>
    <row r="39" spans="1:15" ht="18" customHeight="1">
      <c r="A39" s="31" t="s">
        <v>1612</v>
      </c>
      <c r="B39" s="32" t="s">
        <v>1613</v>
      </c>
      <c r="C39" s="32"/>
      <c r="D39" s="32"/>
      <c r="E39" s="33">
        <v>172136</v>
      </c>
      <c r="F39" s="33">
        <v>172136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40"/>
    </row>
    <row r="40" spans="1:15" ht="18" customHeight="1">
      <c r="A40" s="31" t="s">
        <v>1614</v>
      </c>
      <c r="B40" s="32" t="s">
        <v>1615</v>
      </c>
      <c r="C40" s="32"/>
      <c r="D40" s="32"/>
      <c r="E40" s="33">
        <v>172136</v>
      </c>
      <c r="F40" s="33">
        <v>172136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40"/>
    </row>
    <row r="41" spans="1:15" ht="18" customHeight="1">
      <c r="A41" s="31" t="s">
        <v>1469</v>
      </c>
      <c r="B41" s="32" t="s">
        <v>1568</v>
      </c>
      <c r="C41" s="32" t="s">
        <v>1642</v>
      </c>
      <c r="D41" s="32" t="s">
        <v>1625</v>
      </c>
      <c r="E41" s="33">
        <v>172136</v>
      </c>
      <c r="F41" s="33">
        <v>172136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40"/>
    </row>
  </sheetData>
  <sheetProtection/>
  <mergeCells count="10">
    <mergeCell ref="A4:A6"/>
    <mergeCell ref="B4:B6"/>
    <mergeCell ref="C4:C6"/>
    <mergeCell ref="D4:D6"/>
    <mergeCell ref="E5:E6"/>
    <mergeCell ref="F5:F6"/>
    <mergeCell ref="L5:L6"/>
    <mergeCell ref="M5:M6"/>
    <mergeCell ref="N5:N6"/>
    <mergeCell ref="O4:O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B18" sqref="B18"/>
    </sheetView>
  </sheetViews>
  <sheetFormatPr defaultColWidth="9.33203125" defaultRowHeight="11.25"/>
  <cols>
    <col min="1" max="2" width="51" style="2" customWidth="1"/>
    <col min="3" max="16384" width="9.33203125" style="2" customWidth="1"/>
  </cols>
  <sheetData>
    <row r="1" spans="1:2" s="1" customFormat="1" ht="23.25" customHeight="1">
      <c r="A1" s="3"/>
      <c r="B1" s="4"/>
    </row>
    <row r="2" spans="1:2" s="2" customFormat="1" ht="39" customHeight="1">
      <c r="A2" s="5" t="s">
        <v>1643</v>
      </c>
      <c r="B2" s="5"/>
    </row>
    <row r="3" spans="1:2" s="2" customFormat="1" ht="11.25">
      <c r="A3" s="6"/>
      <c r="B3" s="6"/>
    </row>
    <row r="4" spans="1:2" s="1" customFormat="1" ht="24.75" customHeight="1">
      <c r="A4" s="7"/>
      <c r="B4" s="4" t="s">
        <v>1</v>
      </c>
    </row>
    <row r="5" spans="1:2" s="1" customFormat="1" ht="24.75" customHeight="1">
      <c r="A5" s="8" t="s">
        <v>35</v>
      </c>
      <c r="B5" s="8" t="s">
        <v>1644</v>
      </c>
    </row>
    <row r="6" spans="1:2" s="1" customFormat="1" ht="24.75" customHeight="1">
      <c r="A6" s="8" t="s">
        <v>1132</v>
      </c>
      <c r="B6" s="8">
        <f>SUM(B7:B9)</f>
        <v>610</v>
      </c>
    </row>
    <row r="7" spans="1:3" s="1" customFormat="1" ht="21.75" customHeight="1">
      <c r="A7" s="8" t="s">
        <v>1645</v>
      </c>
      <c r="B7" s="9">
        <v>10</v>
      </c>
      <c r="C7" s="10"/>
    </row>
    <row r="8" spans="1:3" s="1" customFormat="1" ht="21.75" customHeight="1">
      <c r="A8" s="8" t="s">
        <v>1646</v>
      </c>
      <c r="B8" s="9">
        <v>194</v>
      </c>
      <c r="C8" s="10"/>
    </row>
    <row r="9" spans="1:3" s="1" customFormat="1" ht="21.75" customHeight="1">
      <c r="A9" s="8" t="s">
        <v>1647</v>
      </c>
      <c r="B9" s="9">
        <v>406</v>
      </c>
      <c r="C9" s="10"/>
    </row>
    <row r="10" spans="1:3" s="1" customFormat="1" ht="21.75" customHeight="1">
      <c r="A10" s="8" t="s">
        <v>1648</v>
      </c>
      <c r="B10" s="9">
        <v>18</v>
      </c>
      <c r="C10" s="10"/>
    </row>
    <row r="11" spans="1:3" s="1" customFormat="1" ht="21.75" customHeight="1">
      <c r="A11" s="8" t="s">
        <v>1649</v>
      </c>
      <c r="B11" s="9">
        <v>388</v>
      </c>
      <c r="C11" s="10"/>
    </row>
    <row r="12" spans="1:3" s="1" customFormat="1" ht="21.75" customHeight="1">
      <c r="A12" s="8" t="s">
        <v>1650</v>
      </c>
      <c r="B12" s="11">
        <v>35</v>
      </c>
      <c r="C12" s="10"/>
    </row>
    <row r="13" spans="1:3" s="1" customFormat="1" ht="21.75" customHeight="1">
      <c r="A13" s="8" t="s">
        <v>1651</v>
      </c>
      <c r="B13" s="11">
        <v>35</v>
      </c>
      <c r="C13" s="10"/>
    </row>
    <row r="14" spans="1:2" s="1" customFormat="1" ht="21.75" customHeight="1">
      <c r="A14" s="8" t="s">
        <v>1652</v>
      </c>
      <c r="B14" s="12"/>
    </row>
    <row r="15" spans="1:2" s="1" customFormat="1" ht="21.75" customHeight="1">
      <c r="A15" s="8" t="s">
        <v>1653</v>
      </c>
      <c r="B15" s="13"/>
    </row>
    <row r="16" spans="1:2" s="1" customFormat="1" ht="21.75" customHeight="1">
      <c r="A16" s="8" t="s">
        <v>1654</v>
      </c>
      <c r="B16" s="13"/>
    </row>
    <row r="17" spans="1:2" s="1" customFormat="1" ht="21.75" customHeight="1">
      <c r="A17" s="8" t="s">
        <v>1655</v>
      </c>
      <c r="B17" s="14">
        <v>180</v>
      </c>
    </row>
    <row r="18" spans="1:2" s="1" customFormat="1" ht="21.75" customHeight="1">
      <c r="A18" s="8"/>
      <c r="B18" s="9"/>
    </row>
    <row r="19" spans="1:2" s="1" customFormat="1" ht="24" customHeight="1">
      <c r="A19" s="15" t="s">
        <v>1656</v>
      </c>
      <c r="B19" s="15"/>
    </row>
  </sheetData>
  <sheetProtection/>
  <mergeCells count="2">
    <mergeCell ref="A2:B2"/>
    <mergeCell ref="A19:B1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4"/>
  <sheetViews>
    <sheetView workbookViewId="0" topLeftCell="A1">
      <pane xSplit="1" ySplit="4" topLeftCell="B1253" activePane="bottomRight" state="frozen"/>
      <selection pane="bottomRight" activeCell="A2" sqref="A2:E2"/>
    </sheetView>
  </sheetViews>
  <sheetFormatPr defaultColWidth="12" defaultRowHeight="11.25"/>
  <cols>
    <col min="1" max="1" width="58.66015625" style="79" customWidth="1"/>
    <col min="2" max="2" width="19.83203125" style="79" customWidth="1"/>
    <col min="3" max="3" width="18" style="79" customWidth="1"/>
    <col min="4" max="4" width="18.5" style="173" customWidth="1"/>
    <col min="5" max="5" width="20" style="79" customWidth="1"/>
    <col min="6" max="16384" width="12" style="79" customWidth="1"/>
  </cols>
  <sheetData>
    <row r="1" spans="1:5" ht="18" customHeight="1">
      <c r="A1" s="126"/>
      <c r="E1" s="157" t="s">
        <v>32</v>
      </c>
    </row>
    <row r="2" spans="1:5" s="126" customFormat="1" ht="20.25">
      <c r="A2" s="103" t="s">
        <v>34</v>
      </c>
      <c r="B2" s="103"/>
      <c r="C2" s="103"/>
      <c r="D2" s="103"/>
      <c r="E2" s="103"/>
    </row>
    <row r="3" ht="20.25" customHeight="1">
      <c r="E3" s="157" t="s">
        <v>1</v>
      </c>
    </row>
    <row r="4" spans="1:5" ht="36" customHeight="1">
      <c r="A4" s="146" t="s">
        <v>35</v>
      </c>
      <c r="B4" s="122" t="s">
        <v>3</v>
      </c>
      <c r="C4" s="146" t="s">
        <v>4</v>
      </c>
      <c r="D4" s="174" t="s">
        <v>5</v>
      </c>
      <c r="E4" s="146" t="s">
        <v>36</v>
      </c>
    </row>
    <row r="5" spans="1:5" ht="19.5" customHeight="1">
      <c r="A5" s="116" t="s">
        <v>37</v>
      </c>
      <c r="B5" s="116">
        <f>SUM(B6,B18,B27,B39,B51,B62,B73,B85,B94,B104,B119,B128,B139,B151,B161,B197,B203,B210,B218,B225,B231,B237,B255)</f>
        <v>9739</v>
      </c>
      <c r="C5" s="175">
        <f>C6+C18+C27+C39+C51+C62+C73+C85+C94+C104+C119+C128+C139+C151+C161+C174+C181+C188+C197+C203+C210+C218+C225+C231+C237+C243+C249+C255</f>
        <v>9919</v>
      </c>
      <c r="D5" s="176">
        <f aca="true" t="shared" si="0" ref="D5:D68">C5/B5*100</f>
        <v>101.8482390389157</v>
      </c>
      <c r="E5" s="116"/>
    </row>
    <row r="6" spans="1:5" ht="19.5" customHeight="1">
      <c r="A6" s="177" t="s">
        <v>38</v>
      </c>
      <c r="B6" s="116">
        <f>SUM(B7:B17)</f>
        <v>332</v>
      </c>
      <c r="C6" s="114">
        <f>SUM(C7:C17)</f>
        <v>314</v>
      </c>
      <c r="D6" s="176">
        <f t="shared" si="0"/>
        <v>94.57831325301204</v>
      </c>
      <c r="E6" s="116"/>
    </row>
    <row r="7" spans="1:5" ht="19.5" customHeight="1">
      <c r="A7" s="177" t="s">
        <v>39</v>
      </c>
      <c r="B7" s="116">
        <v>270</v>
      </c>
      <c r="C7" s="116">
        <v>284</v>
      </c>
      <c r="D7" s="176">
        <f t="shared" si="0"/>
        <v>105.18518518518518</v>
      </c>
      <c r="E7" s="116"/>
    </row>
    <row r="8" spans="1:5" ht="19.5" customHeight="1">
      <c r="A8" s="177" t="s">
        <v>40</v>
      </c>
      <c r="B8" s="116">
        <v>45</v>
      </c>
      <c r="C8" s="116">
        <v>17</v>
      </c>
      <c r="D8" s="176">
        <f t="shared" si="0"/>
        <v>37.77777777777778</v>
      </c>
      <c r="E8" s="116"/>
    </row>
    <row r="9" spans="1:5" ht="19.5" customHeight="1">
      <c r="A9" s="178" t="s">
        <v>41</v>
      </c>
      <c r="B9" s="116"/>
      <c r="C9" s="116"/>
      <c r="D9" s="176" t="e">
        <f t="shared" si="0"/>
        <v>#DIV/0!</v>
      </c>
      <c r="E9" s="116"/>
    </row>
    <row r="10" spans="1:5" ht="19.5" customHeight="1">
      <c r="A10" s="178" t="s">
        <v>42</v>
      </c>
      <c r="B10" s="116"/>
      <c r="C10" s="116"/>
      <c r="D10" s="176" t="e">
        <f t="shared" si="0"/>
        <v>#DIV/0!</v>
      </c>
      <c r="E10" s="116"/>
    </row>
    <row r="11" spans="1:5" ht="19.5" customHeight="1">
      <c r="A11" s="178" t="s">
        <v>43</v>
      </c>
      <c r="B11" s="116"/>
      <c r="C11" s="116"/>
      <c r="D11" s="176" t="e">
        <f t="shared" si="0"/>
        <v>#DIV/0!</v>
      </c>
      <c r="E11" s="116"/>
    </row>
    <row r="12" spans="1:5" ht="19.5" customHeight="1">
      <c r="A12" s="116" t="s">
        <v>44</v>
      </c>
      <c r="B12" s="116"/>
      <c r="C12" s="116"/>
      <c r="D12" s="176" t="e">
        <f t="shared" si="0"/>
        <v>#DIV/0!</v>
      </c>
      <c r="E12" s="116"/>
    </row>
    <row r="13" spans="1:5" ht="19.5" customHeight="1">
      <c r="A13" s="116" t="s">
        <v>45</v>
      </c>
      <c r="B13" s="116"/>
      <c r="C13" s="116"/>
      <c r="D13" s="176" t="e">
        <f t="shared" si="0"/>
        <v>#DIV/0!</v>
      </c>
      <c r="E13" s="116"/>
    </row>
    <row r="14" spans="1:5" ht="19.5" customHeight="1">
      <c r="A14" s="116" t="s">
        <v>46</v>
      </c>
      <c r="B14" s="116">
        <v>17</v>
      </c>
      <c r="C14" s="116">
        <v>13</v>
      </c>
      <c r="D14" s="176">
        <f t="shared" si="0"/>
        <v>76.47058823529412</v>
      </c>
      <c r="E14" s="116"/>
    </row>
    <row r="15" spans="1:5" ht="19.5" customHeight="1">
      <c r="A15" s="116" t="s">
        <v>47</v>
      </c>
      <c r="B15" s="116"/>
      <c r="C15" s="116"/>
      <c r="D15" s="176" t="e">
        <f t="shared" si="0"/>
        <v>#DIV/0!</v>
      </c>
      <c r="E15" s="116"/>
    </row>
    <row r="16" spans="1:5" ht="19.5" customHeight="1">
      <c r="A16" s="116" t="s">
        <v>48</v>
      </c>
      <c r="B16" s="116"/>
      <c r="C16" s="116"/>
      <c r="D16" s="176" t="e">
        <f t="shared" si="0"/>
        <v>#DIV/0!</v>
      </c>
      <c r="E16" s="116"/>
    </row>
    <row r="17" spans="1:5" ht="19.5" customHeight="1">
      <c r="A17" s="116" t="s">
        <v>49</v>
      </c>
      <c r="B17" s="116"/>
      <c r="C17" s="116"/>
      <c r="D17" s="176" t="e">
        <f t="shared" si="0"/>
        <v>#DIV/0!</v>
      </c>
      <c r="E17" s="116"/>
    </row>
    <row r="18" spans="1:5" ht="19.5" customHeight="1">
      <c r="A18" s="177" t="s">
        <v>50</v>
      </c>
      <c r="B18" s="116">
        <f>SUM(B19:B26)</f>
        <v>225</v>
      </c>
      <c r="C18" s="114">
        <f>SUM(C19:C26)</f>
        <v>201</v>
      </c>
      <c r="D18" s="176">
        <f t="shared" si="0"/>
        <v>89.33333333333333</v>
      </c>
      <c r="E18" s="116"/>
    </row>
    <row r="19" spans="1:5" ht="19.5" customHeight="1">
      <c r="A19" s="177" t="s">
        <v>39</v>
      </c>
      <c r="B19" s="116">
        <v>186</v>
      </c>
      <c r="C19" s="116">
        <v>183</v>
      </c>
      <c r="D19" s="176">
        <f t="shared" si="0"/>
        <v>98.38709677419355</v>
      </c>
      <c r="E19" s="116"/>
    </row>
    <row r="20" spans="1:5" ht="19.5" customHeight="1">
      <c r="A20" s="177" t="s">
        <v>40</v>
      </c>
      <c r="B20" s="116">
        <v>22</v>
      </c>
      <c r="C20" s="116">
        <v>13</v>
      </c>
      <c r="D20" s="176">
        <f t="shared" si="0"/>
        <v>59.09090909090909</v>
      </c>
      <c r="E20" s="116"/>
    </row>
    <row r="21" spans="1:5" ht="19.5" customHeight="1">
      <c r="A21" s="178" t="s">
        <v>41</v>
      </c>
      <c r="B21" s="116"/>
      <c r="C21" s="116"/>
      <c r="D21" s="176" t="e">
        <f t="shared" si="0"/>
        <v>#DIV/0!</v>
      </c>
      <c r="E21" s="116"/>
    </row>
    <row r="22" spans="1:5" ht="19.5" customHeight="1">
      <c r="A22" s="178" t="s">
        <v>51</v>
      </c>
      <c r="B22" s="116"/>
      <c r="C22" s="116"/>
      <c r="D22" s="176" t="e">
        <f t="shared" si="0"/>
        <v>#DIV/0!</v>
      </c>
      <c r="E22" s="116"/>
    </row>
    <row r="23" spans="1:5" ht="19.5" customHeight="1">
      <c r="A23" s="178" t="s">
        <v>52</v>
      </c>
      <c r="B23" s="116">
        <v>2</v>
      </c>
      <c r="C23" s="116">
        <v>5</v>
      </c>
      <c r="D23" s="176">
        <f t="shared" si="0"/>
        <v>250</v>
      </c>
      <c r="E23" s="116"/>
    </row>
    <row r="24" spans="1:5" ht="19.5" customHeight="1">
      <c r="A24" s="178" t="s">
        <v>53</v>
      </c>
      <c r="B24" s="116">
        <v>10</v>
      </c>
      <c r="C24" s="116"/>
      <c r="D24" s="176">
        <f t="shared" si="0"/>
        <v>0</v>
      </c>
      <c r="E24" s="116"/>
    </row>
    <row r="25" spans="1:5" ht="19.5" customHeight="1">
      <c r="A25" s="178" t="s">
        <v>48</v>
      </c>
      <c r="B25" s="116"/>
      <c r="C25" s="116"/>
      <c r="D25" s="176" t="e">
        <f t="shared" si="0"/>
        <v>#DIV/0!</v>
      </c>
      <c r="E25" s="116"/>
    </row>
    <row r="26" spans="1:5" ht="19.5" customHeight="1">
      <c r="A26" s="178" t="s">
        <v>54</v>
      </c>
      <c r="B26" s="116">
        <v>5</v>
      </c>
      <c r="C26" s="116"/>
      <c r="D26" s="176">
        <f t="shared" si="0"/>
        <v>0</v>
      </c>
      <c r="E26" s="116"/>
    </row>
    <row r="27" spans="1:5" ht="19.5" customHeight="1">
      <c r="A27" s="177" t="s">
        <v>55</v>
      </c>
      <c r="B27" s="116">
        <f>SUM(B28:B38)</f>
        <v>3515</v>
      </c>
      <c r="C27" s="114">
        <f>SUM(C28:C38)</f>
        <v>3623</v>
      </c>
      <c r="D27" s="176">
        <f t="shared" si="0"/>
        <v>103.07254623044098</v>
      </c>
      <c r="E27" s="116"/>
    </row>
    <row r="28" spans="1:5" ht="19.5" customHeight="1">
      <c r="A28" s="177" t="s">
        <v>39</v>
      </c>
      <c r="B28" s="116">
        <v>2047</v>
      </c>
      <c r="C28" s="116">
        <v>2256</v>
      </c>
      <c r="D28" s="176">
        <f t="shared" si="0"/>
        <v>110.21006350757206</v>
      </c>
      <c r="E28" s="116"/>
    </row>
    <row r="29" spans="1:5" ht="19.5" customHeight="1">
      <c r="A29" s="177" t="s">
        <v>40</v>
      </c>
      <c r="B29" s="116">
        <v>570</v>
      </c>
      <c r="C29" s="116">
        <v>380</v>
      </c>
      <c r="D29" s="176">
        <f t="shared" si="0"/>
        <v>66.66666666666666</v>
      </c>
      <c r="E29" s="116"/>
    </row>
    <row r="30" spans="1:5" ht="19.5" customHeight="1">
      <c r="A30" s="178" t="s">
        <v>41</v>
      </c>
      <c r="B30" s="116">
        <v>779</v>
      </c>
      <c r="C30" s="116">
        <v>788</v>
      </c>
      <c r="D30" s="176">
        <f t="shared" si="0"/>
        <v>101.1553273427471</v>
      </c>
      <c r="E30" s="116"/>
    </row>
    <row r="31" spans="1:5" ht="19.5" customHeight="1">
      <c r="A31" s="178" t="s">
        <v>56</v>
      </c>
      <c r="B31" s="116"/>
      <c r="C31" s="116"/>
      <c r="D31" s="176" t="e">
        <f t="shared" si="0"/>
        <v>#DIV/0!</v>
      </c>
      <c r="E31" s="116"/>
    </row>
    <row r="32" spans="1:5" ht="19.5" customHeight="1">
      <c r="A32" s="178" t="s">
        <v>57</v>
      </c>
      <c r="B32" s="116"/>
      <c r="C32" s="116"/>
      <c r="D32" s="176" t="e">
        <f t="shared" si="0"/>
        <v>#DIV/0!</v>
      </c>
      <c r="E32" s="116"/>
    </row>
    <row r="33" spans="1:5" ht="19.5" customHeight="1">
      <c r="A33" s="177" t="s">
        <v>58</v>
      </c>
      <c r="B33" s="116">
        <v>119</v>
      </c>
      <c r="C33" s="116">
        <v>199</v>
      </c>
      <c r="D33" s="176">
        <f t="shared" si="0"/>
        <v>167.22689075630254</v>
      </c>
      <c r="E33" s="116"/>
    </row>
    <row r="34" spans="1:5" ht="19.5" customHeight="1">
      <c r="A34" s="177" t="s">
        <v>59</v>
      </c>
      <c r="B34" s="116"/>
      <c r="C34" s="116"/>
      <c r="D34" s="176" t="e">
        <f t="shared" si="0"/>
        <v>#DIV/0!</v>
      </c>
      <c r="E34" s="116"/>
    </row>
    <row r="35" spans="1:5" ht="19.5" customHeight="1">
      <c r="A35" s="177" t="s">
        <v>60</v>
      </c>
      <c r="B35" s="116"/>
      <c r="C35" s="116"/>
      <c r="D35" s="176" t="e">
        <f t="shared" si="0"/>
        <v>#DIV/0!</v>
      </c>
      <c r="E35" s="116"/>
    </row>
    <row r="36" spans="1:5" ht="19.5" customHeight="1">
      <c r="A36" s="178" t="s">
        <v>61</v>
      </c>
      <c r="B36" s="116"/>
      <c r="C36" s="116"/>
      <c r="D36" s="176" t="e">
        <f t="shared" si="0"/>
        <v>#DIV/0!</v>
      </c>
      <c r="E36" s="116"/>
    </row>
    <row r="37" spans="1:5" ht="19.5" customHeight="1">
      <c r="A37" s="178" t="s">
        <v>48</v>
      </c>
      <c r="B37" s="116"/>
      <c r="C37" s="116"/>
      <c r="D37" s="176" t="e">
        <f t="shared" si="0"/>
        <v>#DIV/0!</v>
      </c>
      <c r="E37" s="116"/>
    </row>
    <row r="38" spans="1:5" ht="19.5" customHeight="1">
      <c r="A38" s="178" t="s">
        <v>62</v>
      </c>
      <c r="B38" s="116"/>
      <c r="C38" s="116"/>
      <c r="D38" s="176" t="e">
        <f t="shared" si="0"/>
        <v>#DIV/0!</v>
      </c>
      <c r="E38" s="116"/>
    </row>
    <row r="39" spans="1:5" ht="19.5" customHeight="1">
      <c r="A39" s="177" t="s">
        <v>63</v>
      </c>
      <c r="B39" s="116">
        <f>SUM(B40:B50)</f>
        <v>562</v>
      </c>
      <c r="C39" s="114">
        <f>SUM(C40:C50)</f>
        <v>521</v>
      </c>
      <c r="D39" s="176">
        <f t="shared" si="0"/>
        <v>92.70462633451957</v>
      </c>
      <c r="E39" s="116"/>
    </row>
    <row r="40" spans="1:5" ht="19.5" customHeight="1">
      <c r="A40" s="177" t="s">
        <v>39</v>
      </c>
      <c r="B40" s="116">
        <v>312</v>
      </c>
      <c r="C40" s="116">
        <v>289</v>
      </c>
      <c r="D40" s="176">
        <f t="shared" si="0"/>
        <v>92.62820512820514</v>
      </c>
      <c r="E40" s="116"/>
    </row>
    <row r="41" spans="1:5" ht="19.5" customHeight="1">
      <c r="A41" s="177" t="s">
        <v>40</v>
      </c>
      <c r="B41" s="116">
        <v>66</v>
      </c>
      <c r="C41" s="116">
        <v>43</v>
      </c>
      <c r="D41" s="176">
        <f t="shared" si="0"/>
        <v>65.15151515151516</v>
      </c>
      <c r="E41" s="116"/>
    </row>
    <row r="42" spans="1:5" ht="19.5" customHeight="1">
      <c r="A42" s="178" t="s">
        <v>41</v>
      </c>
      <c r="B42" s="116"/>
      <c r="C42" s="116"/>
      <c r="D42" s="176" t="e">
        <f t="shared" si="0"/>
        <v>#DIV/0!</v>
      </c>
      <c r="E42" s="116"/>
    </row>
    <row r="43" spans="1:5" ht="19.5" customHeight="1">
      <c r="A43" s="178" t="s">
        <v>64</v>
      </c>
      <c r="B43" s="116"/>
      <c r="C43" s="116"/>
      <c r="D43" s="176" t="e">
        <f t="shared" si="0"/>
        <v>#DIV/0!</v>
      </c>
      <c r="E43" s="116"/>
    </row>
    <row r="44" spans="1:5" ht="19.5" customHeight="1">
      <c r="A44" s="178" t="s">
        <v>65</v>
      </c>
      <c r="B44" s="116"/>
      <c r="C44" s="116"/>
      <c r="D44" s="176" t="e">
        <f t="shared" si="0"/>
        <v>#DIV/0!</v>
      </c>
      <c r="E44" s="116"/>
    </row>
    <row r="45" spans="1:5" ht="19.5" customHeight="1">
      <c r="A45" s="177" t="s">
        <v>66</v>
      </c>
      <c r="B45" s="116"/>
      <c r="C45" s="116"/>
      <c r="D45" s="176" t="e">
        <f t="shared" si="0"/>
        <v>#DIV/0!</v>
      </c>
      <c r="E45" s="116"/>
    </row>
    <row r="46" spans="1:5" ht="19.5" customHeight="1">
      <c r="A46" s="177" t="s">
        <v>67</v>
      </c>
      <c r="B46" s="116"/>
      <c r="C46" s="116"/>
      <c r="D46" s="176" t="e">
        <f t="shared" si="0"/>
        <v>#DIV/0!</v>
      </c>
      <c r="E46" s="116"/>
    </row>
    <row r="47" spans="1:5" ht="19.5" customHeight="1">
      <c r="A47" s="177" t="s">
        <v>68</v>
      </c>
      <c r="B47" s="116">
        <v>184</v>
      </c>
      <c r="C47" s="116">
        <v>189</v>
      </c>
      <c r="D47" s="176">
        <f t="shared" si="0"/>
        <v>102.71739130434783</v>
      </c>
      <c r="E47" s="116"/>
    </row>
    <row r="48" spans="1:5" ht="19.5" customHeight="1">
      <c r="A48" s="177" t="s">
        <v>69</v>
      </c>
      <c r="B48" s="116"/>
      <c r="C48" s="116"/>
      <c r="D48" s="176" t="e">
        <f t="shared" si="0"/>
        <v>#DIV/0!</v>
      </c>
      <c r="E48" s="116"/>
    </row>
    <row r="49" spans="1:5" ht="19.5" customHeight="1">
      <c r="A49" s="177" t="s">
        <v>48</v>
      </c>
      <c r="B49" s="116"/>
      <c r="C49" s="116"/>
      <c r="D49" s="176" t="e">
        <f t="shared" si="0"/>
        <v>#DIV/0!</v>
      </c>
      <c r="E49" s="116"/>
    </row>
    <row r="50" spans="1:5" ht="19.5" customHeight="1">
      <c r="A50" s="178" t="s">
        <v>70</v>
      </c>
      <c r="B50" s="116"/>
      <c r="C50" s="116"/>
      <c r="D50" s="176" t="e">
        <f t="shared" si="0"/>
        <v>#DIV/0!</v>
      </c>
      <c r="E50" s="116"/>
    </row>
    <row r="51" spans="1:5" ht="19.5" customHeight="1">
      <c r="A51" s="178" t="s">
        <v>71</v>
      </c>
      <c r="B51" s="116">
        <f>SUM(B52:B61)</f>
        <v>280</v>
      </c>
      <c r="C51" s="114">
        <f>SUM(C52:C61)</f>
        <v>313</v>
      </c>
      <c r="D51" s="176">
        <f t="shared" si="0"/>
        <v>111.78571428571429</v>
      </c>
      <c r="E51" s="116"/>
    </row>
    <row r="52" spans="1:5" ht="19.5" customHeight="1">
      <c r="A52" s="178" t="s">
        <v>39</v>
      </c>
      <c r="B52" s="116">
        <v>214</v>
      </c>
      <c r="C52" s="116">
        <v>218</v>
      </c>
      <c r="D52" s="176">
        <f t="shared" si="0"/>
        <v>101.86915887850468</v>
      </c>
      <c r="E52" s="116"/>
    </row>
    <row r="53" spans="1:5" ht="19.5" customHeight="1">
      <c r="A53" s="116" t="s">
        <v>40</v>
      </c>
      <c r="B53" s="116">
        <v>2</v>
      </c>
      <c r="C53" s="116">
        <v>4</v>
      </c>
      <c r="D53" s="176">
        <f t="shared" si="0"/>
        <v>200</v>
      </c>
      <c r="E53" s="116"/>
    </row>
    <row r="54" spans="1:5" ht="19.5" customHeight="1">
      <c r="A54" s="177" t="s">
        <v>41</v>
      </c>
      <c r="B54" s="116"/>
      <c r="C54" s="116"/>
      <c r="D54" s="176" t="e">
        <f t="shared" si="0"/>
        <v>#DIV/0!</v>
      </c>
      <c r="E54" s="116"/>
    </row>
    <row r="55" spans="1:5" ht="19.5" customHeight="1">
      <c r="A55" s="177" t="s">
        <v>72</v>
      </c>
      <c r="B55" s="116"/>
      <c r="C55" s="116"/>
      <c r="D55" s="176" t="e">
        <f t="shared" si="0"/>
        <v>#DIV/0!</v>
      </c>
      <c r="E55" s="116"/>
    </row>
    <row r="56" spans="1:5" ht="19.5" customHeight="1">
      <c r="A56" s="177" t="s">
        <v>73</v>
      </c>
      <c r="B56" s="116">
        <v>47</v>
      </c>
      <c r="C56" s="116">
        <v>70</v>
      </c>
      <c r="D56" s="176">
        <f t="shared" si="0"/>
        <v>148.93617021276594</v>
      </c>
      <c r="E56" s="116"/>
    </row>
    <row r="57" spans="1:5" ht="19.5" customHeight="1">
      <c r="A57" s="178" t="s">
        <v>74</v>
      </c>
      <c r="B57" s="116"/>
      <c r="C57" s="116"/>
      <c r="D57" s="176" t="e">
        <f t="shared" si="0"/>
        <v>#DIV/0!</v>
      </c>
      <c r="E57" s="116"/>
    </row>
    <row r="58" spans="1:5" ht="19.5" customHeight="1">
      <c r="A58" s="178" t="s">
        <v>75</v>
      </c>
      <c r="B58" s="116"/>
      <c r="C58" s="116">
        <v>6</v>
      </c>
      <c r="D58" s="176" t="e">
        <f t="shared" si="0"/>
        <v>#DIV/0!</v>
      </c>
      <c r="E58" s="116"/>
    </row>
    <row r="59" spans="1:5" ht="19.5" customHeight="1">
      <c r="A59" s="178" t="s">
        <v>76</v>
      </c>
      <c r="B59" s="116">
        <v>17</v>
      </c>
      <c r="C59" s="116">
        <v>15</v>
      </c>
      <c r="D59" s="176">
        <f t="shared" si="0"/>
        <v>88.23529411764706</v>
      </c>
      <c r="E59" s="116"/>
    </row>
    <row r="60" spans="1:5" ht="19.5" customHeight="1">
      <c r="A60" s="177" t="s">
        <v>48</v>
      </c>
      <c r="B60" s="116"/>
      <c r="C60" s="116"/>
      <c r="D60" s="176" t="e">
        <f t="shared" si="0"/>
        <v>#DIV/0!</v>
      </c>
      <c r="E60" s="116"/>
    </row>
    <row r="61" spans="1:5" ht="19.5" customHeight="1">
      <c r="A61" s="177" t="s">
        <v>77</v>
      </c>
      <c r="B61" s="116"/>
      <c r="C61" s="116"/>
      <c r="D61" s="176" t="e">
        <f t="shared" si="0"/>
        <v>#DIV/0!</v>
      </c>
      <c r="E61" s="116"/>
    </row>
    <row r="62" spans="1:5" ht="19.5" customHeight="1">
      <c r="A62" s="177" t="s">
        <v>78</v>
      </c>
      <c r="B62" s="116">
        <f>SUM(B63:B72)</f>
        <v>950</v>
      </c>
      <c r="C62" s="114">
        <f>SUM(C63:C72)</f>
        <v>968</v>
      </c>
      <c r="D62" s="176">
        <f t="shared" si="0"/>
        <v>101.89473684210526</v>
      </c>
      <c r="E62" s="116"/>
    </row>
    <row r="63" spans="1:5" ht="19.5" customHeight="1">
      <c r="A63" s="178" t="s">
        <v>39</v>
      </c>
      <c r="B63" s="116">
        <v>315</v>
      </c>
      <c r="C63" s="116">
        <v>298</v>
      </c>
      <c r="D63" s="176">
        <f t="shared" si="0"/>
        <v>94.6031746031746</v>
      </c>
      <c r="E63" s="116"/>
    </row>
    <row r="64" spans="1:5" ht="19.5" customHeight="1">
      <c r="A64" s="116" t="s">
        <v>40</v>
      </c>
      <c r="B64" s="116">
        <v>12</v>
      </c>
      <c r="C64" s="116">
        <f>10+21</f>
        <v>31</v>
      </c>
      <c r="D64" s="176">
        <f t="shared" si="0"/>
        <v>258.33333333333337</v>
      </c>
      <c r="E64" s="116"/>
    </row>
    <row r="65" spans="1:5" ht="19.5" customHeight="1">
      <c r="A65" s="116" t="s">
        <v>41</v>
      </c>
      <c r="B65" s="116"/>
      <c r="C65" s="116"/>
      <c r="D65" s="176" t="e">
        <f t="shared" si="0"/>
        <v>#DIV/0!</v>
      </c>
      <c r="E65" s="116"/>
    </row>
    <row r="66" spans="1:5" ht="19.5" customHeight="1">
      <c r="A66" s="116" t="s">
        <v>79</v>
      </c>
      <c r="B66" s="116"/>
      <c r="C66" s="116"/>
      <c r="D66" s="176" t="e">
        <f t="shared" si="0"/>
        <v>#DIV/0!</v>
      </c>
      <c r="E66" s="116"/>
    </row>
    <row r="67" spans="1:5" ht="19.5" customHeight="1">
      <c r="A67" s="116" t="s">
        <v>80</v>
      </c>
      <c r="B67" s="116"/>
      <c r="C67" s="116"/>
      <c r="D67" s="176" t="e">
        <f t="shared" si="0"/>
        <v>#DIV/0!</v>
      </c>
      <c r="E67" s="116"/>
    </row>
    <row r="68" spans="1:5" ht="19.5" customHeight="1">
      <c r="A68" s="116" t="s">
        <v>81</v>
      </c>
      <c r="B68" s="116"/>
      <c r="C68" s="116"/>
      <c r="D68" s="176" t="e">
        <f t="shared" si="0"/>
        <v>#DIV/0!</v>
      </c>
      <c r="E68" s="116"/>
    </row>
    <row r="69" spans="1:5" ht="19.5" customHeight="1">
      <c r="A69" s="177" t="s">
        <v>82</v>
      </c>
      <c r="B69" s="116">
        <v>15</v>
      </c>
      <c r="C69" s="116">
        <v>16</v>
      </c>
      <c r="D69" s="176">
        <f aca="true" t="shared" si="1" ref="D69:D132">C69/B69*100</f>
        <v>106.66666666666667</v>
      </c>
      <c r="E69" s="116"/>
    </row>
    <row r="70" spans="1:5" ht="19.5" customHeight="1">
      <c r="A70" s="178" t="s">
        <v>83</v>
      </c>
      <c r="B70" s="116"/>
      <c r="C70" s="116"/>
      <c r="D70" s="176" t="e">
        <f t="shared" si="1"/>
        <v>#DIV/0!</v>
      </c>
      <c r="E70" s="116"/>
    </row>
    <row r="71" spans="1:5" ht="19.5" customHeight="1">
      <c r="A71" s="178" t="s">
        <v>48</v>
      </c>
      <c r="B71" s="116">
        <v>605</v>
      </c>
      <c r="C71" s="116">
        <v>623</v>
      </c>
      <c r="D71" s="176">
        <f t="shared" si="1"/>
        <v>102.97520661157024</v>
      </c>
      <c r="E71" s="116"/>
    </row>
    <row r="72" spans="1:5" ht="19.5" customHeight="1">
      <c r="A72" s="178" t="s">
        <v>84</v>
      </c>
      <c r="B72" s="116">
        <v>3</v>
      </c>
      <c r="C72" s="116"/>
      <c r="D72" s="176">
        <f t="shared" si="1"/>
        <v>0</v>
      </c>
      <c r="E72" s="116"/>
    </row>
    <row r="73" spans="1:5" ht="19.5" customHeight="1">
      <c r="A73" s="177" t="s">
        <v>85</v>
      </c>
      <c r="B73" s="116">
        <f>SUM(B74:B84)</f>
        <v>40</v>
      </c>
      <c r="C73" s="114">
        <f>SUM(C74:C84)</f>
        <v>30</v>
      </c>
      <c r="D73" s="176">
        <f t="shared" si="1"/>
        <v>75</v>
      </c>
      <c r="E73" s="116"/>
    </row>
    <row r="74" spans="1:5" ht="19.5" customHeight="1">
      <c r="A74" s="177" t="s">
        <v>39</v>
      </c>
      <c r="B74" s="116"/>
      <c r="C74" s="116"/>
      <c r="D74" s="176" t="e">
        <f t="shared" si="1"/>
        <v>#DIV/0!</v>
      </c>
      <c r="E74" s="116"/>
    </row>
    <row r="75" spans="1:5" ht="19.5" customHeight="1">
      <c r="A75" s="177" t="s">
        <v>40</v>
      </c>
      <c r="B75" s="116"/>
      <c r="C75" s="116"/>
      <c r="D75" s="176" t="e">
        <f t="shared" si="1"/>
        <v>#DIV/0!</v>
      </c>
      <c r="E75" s="116"/>
    </row>
    <row r="76" spans="1:5" ht="19.5" customHeight="1">
      <c r="A76" s="178" t="s">
        <v>41</v>
      </c>
      <c r="B76" s="116"/>
      <c r="C76" s="116"/>
      <c r="D76" s="176" t="e">
        <f t="shared" si="1"/>
        <v>#DIV/0!</v>
      </c>
      <c r="E76" s="116"/>
    </row>
    <row r="77" spans="1:5" ht="19.5" customHeight="1">
      <c r="A77" s="178" t="s">
        <v>86</v>
      </c>
      <c r="B77" s="116"/>
      <c r="C77" s="116"/>
      <c r="D77" s="176" t="e">
        <f t="shared" si="1"/>
        <v>#DIV/0!</v>
      </c>
      <c r="E77" s="116"/>
    </row>
    <row r="78" spans="1:5" ht="19.5" customHeight="1">
      <c r="A78" s="178" t="s">
        <v>87</v>
      </c>
      <c r="B78" s="116"/>
      <c r="C78" s="116"/>
      <c r="D78" s="176" t="e">
        <f t="shared" si="1"/>
        <v>#DIV/0!</v>
      </c>
      <c r="E78" s="116"/>
    </row>
    <row r="79" spans="1:5" ht="19.5" customHeight="1">
      <c r="A79" s="116" t="s">
        <v>88</v>
      </c>
      <c r="B79" s="116"/>
      <c r="C79" s="116"/>
      <c r="D79" s="176" t="e">
        <f t="shared" si="1"/>
        <v>#DIV/0!</v>
      </c>
      <c r="E79" s="116"/>
    </row>
    <row r="80" spans="1:5" ht="19.5" customHeight="1">
      <c r="A80" s="177" t="s">
        <v>89</v>
      </c>
      <c r="B80" s="116"/>
      <c r="C80" s="116"/>
      <c r="D80" s="176" t="e">
        <f t="shared" si="1"/>
        <v>#DIV/0!</v>
      </c>
      <c r="E80" s="116"/>
    </row>
    <row r="81" spans="1:5" ht="19.5" customHeight="1">
      <c r="A81" s="177" t="s">
        <v>90</v>
      </c>
      <c r="B81" s="116"/>
      <c r="C81" s="116"/>
      <c r="D81" s="176" t="e">
        <f t="shared" si="1"/>
        <v>#DIV/0!</v>
      </c>
      <c r="E81" s="116"/>
    </row>
    <row r="82" spans="1:5" ht="19.5" customHeight="1">
      <c r="A82" s="177" t="s">
        <v>82</v>
      </c>
      <c r="B82" s="116"/>
      <c r="C82" s="116"/>
      <c r="D82" s="176" t="e">
        <f t="shared" si="1"/>
        <v>#DIV/0!</v>
      </c>
      <c r="E82" s="116"/>
    </row>
    <row r="83" spans="1:5" ht="19.5" customHeight="1">
      <c r="A83" s="178" t="s">
        <v>48</v>
      </c>
      <c r="B83" s="116"/>
      <c r="C83" s="116"/>
      <c r="D83" s="176" t="e">
        <f t="shared" si="1"/>
        <v>#DIV/0!</v>
      </c>
      <c r="E83" s="116"/>
    </row>
    <row r="84" spans="1:5" ht="19.5" customHeight="1">
      <c r="A84" s="178" t="s">
        <v>91</v>
      </c>
      <c r="B84" s="116">
        <v>40</v>
      </c>
      <c r="C84" s="116">
        <v>30</v>
      </c>
      <c r="D84" s="176">
        <f t="shared" si="1"/>
        <v>75</v>
      </c>
      <c r="E84" s="116"/>
    </row>
    <row r="85" spans="1:5" ht="19.5" customHeight="1">
      <c r="A85" s="178" t="s">
        <v>92</v>
      </c>
      <c r="B85" s="116">
        <f>SUM(B86:B93)</f>
        <v>358</v>
      </c>
      <c r="C85" s="114">
        <f>SUM(C86:C93)</f>
        <v>300</v>
      </c>
      <c r="D85" s="176">
        <f t="shared" si="1"/>
        <v>83.79888268156425</v>
      </c>
      <c r="E85" s="116"/>
    </row>
    <row r="86" spans="1:5" ht="19.5" customHeight="1">
      <c r="A86" s="177" t="s">
        <v>39</v>
      </c>
      <c r="B86" s="116">
        <v>228</v>
      </c>
      <c r="C86" s="116">
        <v>213</v>
      </c>
      <c r="D86" s="176">
        <f t="shared" si="1"/>
        <v>93.42105263157895</v>
      </c>
      <c r="E86" s="116"/>
    </row>
    <row r="87" spans="1:5" ht="19.5" customHeight="1">
      <c r="A87" s="177" t="s">
        <v>40</v>
      </c>
      <c r="B87" s="116">
        <v>30</v>
      </c>
      <c r="C87" s="116">
        <f>30+7</f>
        <v>37</v>
      </c>
      <c r="D87" s="176">
        <f t="shared" si="1"/>
        <v>123.33333333333334</v>
      </c>
      <c r="E87" s="116"/>
    </row>
    <row r="88" spans="1:5" ht="19.5" customHeight="1">
      <c r="A88" s="177" t="s">
        <v>41</v>
      </c>
      <c r="B88" s="116"/>
      <c r="C88" s="116"/>
      <c r="D88" s="176" t="e">
        <f t="shared" si="1"/>
        <v>#DIV/0!</v>
      </c>
      <c r="E88" s="116"/>
    </row>
    <row r="89" spans="1:5" ht="19.5" customHeight="1">
      <c r="A89" s="178" t="s">
        <v>93</v>
      </c>
      <c r="B89" s="116">
        <v>100</v>
      </c>
      <c r="C89" s="116">
        <f>50</f>
        <v>50</v>
      </c>
      <c r="D89" s="176">
        <f t="shared" si="1"/>
        <v>50</v>
      </c>
      <c r="E89" s="116"/>
    </row>
    <row r="90" spans="1:5" ht="19.5" customHeight="1">
      <c r="A90" s="178" t="s">
        <v>94</v>
      </c>
      <c r="B90" s="116"/>
      <c r="C90" s="116"/>
      <c r="D90" s="176" t="e">
        <f t="shared" si="1"/>
        <v>#DIV/0!</v>
      </c>
      <c r="E90" s="116"/>
    </row>
    <row r="91" spans="1:5" ht="19.5" customHeight="1">
      <c r="A91" s="178" t="s">
        <v>82</v>
      </c>
      <c r="B91" s="116"/>
      <c r="C91" s="116"/>
      <c r="D91" s="176" t="e">
        <f t="shared" si="1"/>
        <v>#DIV/0!</v>
      </c>
      <c r="E91" s="116"/>
    </row>
    <row r="92" spans="1:5" ht="19.5" customHeight="1">
      <c r="A92" s="178" t="s">
        <v>48</v>
      </c>
      <c r="B92" s="116"/>
      <c r="C92" s="116"/>
      <c r="D92" s="176" t="e">
        <f t="shared" si="1"/>
        <v>#DIV/0!</v>
      </c>
      <c r="E92" s="116"/>
    </row>
    <row r="93" spans="1:5" ht="19.5" customHeight="1">
      <c r="A93" s="116" t="s">
        <v>95</v>
      </c>
      <c r="B93" s="116"/>
      <c r="C93" s="116"/>
      <c r="D93" s="176" t="e">
        <f t="shared" si="1"/>
        <v>#DIV/0!</v>
      </c>
      <c r="E93" s="116"/>
    </row>
    <row r="94" spans="1:5" ht="19.5" customHeight="1">
      <c r="A94" s="177" t="s">
        <v>96</v>
      </c>
      <c r="B94" s="116"/>
      <c r="C94" s="114">
        <f>SUM(C95:C103)</f>
        <v>0</v>
      </c>
      <c r="D94" s="176" t="e">
        <f t="shared" si="1"/>
        <v>#DIV/0!</v>
      </c>
      <c r="E94" s="116"/>
    </row>
    <row r="95" spans="1:5" ht="19.5" customHeight="1">
      <c r="A95" s="177" t="s">
        <v>39</v>
      </c>
      <c r="B95" s="116"/>
      <c r="C95" s="116"/>
      <c r="D95" s="176" t="e">
        <f t="shared" si="1"/>
        <v>#DIV/0!</v>
      </c>
      <c r="E95" s="116"/>
    </row>
    <row r="96" spans="1:5" ht="19.5" customHeight="1">
      <c r="A96" s="178" t="s">
        <v>40</v>
      </c>
      <c r="B96" s="116"/>
      <c r="C96" s="116"/>
      <c r="D96" s="176" t="e">
        <f t="shared" si="1"/>
        <v>#DIV/0!</v>
      </c>
      <c r="E96" s="116"/>
    </row>
    <row r="97" spans="1:5" ht="19.5" customHeight="1">
      <c r="A97" s="178" t="s">
        <v>41</v>
      </c>
      <c r="B97" s="116"/>
      <c r="C97" s="116"/>
      <c r="D97" s="176" t="e">
        <f t="shared" si="1"/>
        <v>#DIV/0!</v>
      </c>
      <c r="E97" s="116"/>
    </row>
    <row r="98" spans="1:5" ht="19.5" customHeight="1">
      <c r="A98" s="178" t="s">
        <v>97</v>
      </c>
      <c r="B98" s="116"/>
      <c r="C98" s="116"/>
      <c r="D98" s="176" t="e">
        <f t="shared" si="1"/>
        <v>#DIV/0!</v>
      </c>
      <c r="E98" s="116"/>
    </row>
    <row r="99" spans="1:5" ht="19.5" customHeight="1">
      <c r="A99" s="177" t="s">
        <v>98</v>
      </c>
      <c r="B99" s="116"/>
      <c r="C99" s="116"/>
      <c r="D99" s="176" t="e">
        <f t="shared" si="1"/>
        <v>#DIV/0!</v>
      </c>
      <c r="E99" s="116"/>
    </row>
    <row r="100" spans="1:5" ht="19.5" customHeight="1">
      <c r="A100" s="177" t="s">
        <v>99</v>
      </c>
      <c r="B100" s="116"/>
      <c r="C100" s="116"/>
      <c r="D100" s="176" t="e">
        <f t="shared" si="1"/>
        <v>#DIV/0!</v>
      </c>
      <c r="E100" s="116"/>
    </row>
    <row r="101" spans="1:5" ht="19.5" customHeight="1">
      <c r="A101" s="177" t="s">
        <v>82</v>
      </c>
      <c r="B101" s="116"/>
      <c r="C101" s="116"/>
      <c r="D101" s="176" t="e">
        <f t="shared" si="1"/>
        <v>#DIV/0!</v>
      </c>
      <c r="E101" s="116"/>
    </row>
    <row r="102" spans="1:5" ht="19.5" customHeight="1">
      <c r="A102" s="178" t="s">
        <v>48</v>
      </c>
      <c r="B102" s="116"/>
      <c r="C102" s="116"/>
      <c r="D102" s="176" t="e">
        <f t="shared" si="1"/>
        <v>#DIV/0!</v>
      </c>
      <c r="E102" s="116"/>
    </row>
    <row r="103" spans="1:5" ht="19.5" customHeight="1">
      <c r="A103" s="178" t="s">
        <v>100</v>
      </c>
      <c r="B103" s="116"/>
      <c r="C103" s="116"/>
      <c r="D103" s="176" t="e">
        <f t="shared" si="1"/>
        <v>#DIV/0!</v>
      </c>
      <c r="E103" s="116"/>
    </row>
    <row r="104" spans="1:5" ht="19.5" customHeight="1">
      <c r="A104" s="178" t="s">
        <v>101</v>
      </c>
      <c r="B104" s="116">
        <f>SUM(B105:B118)</f>
        <v>0</v>
      </c>
      <c r="C104" s="114">
        <f>SUM(C105:C118)</f>
        <v>0</v>
      </c>
      <c r="D104" s="176" t="e">
        <f t="shared" si="1"/>
        <v>#DIV/0!</v>
      </c>
      <c r="E104" s="116"/>
    </row>
    <row r="105" spans="1:5" ht="19.5" customHeight="1">
      <c r="A105" s="178" t="s">
        <v>39</v>
      </c>
      <c r="B105" s="116"/>
      <c r="C105" s="116"/>
      <c r="D105" s="176" t="e">
        <f t="shared" si="1"/>
        <v>#DIV/0!</v>
      </c>
      <c r="E105" s="116"/>
    </row>
    <row r="106" spans="1:5" ht="19.5" customHeight="1">
      <c r="A106" s="177" t="s">
        <v>40</v>
      </c>
      <c r="B106" s="116"/>
      <c r="C106" s="116"/>
      <c r="D106" s="176" t="e">
        <f t="shared" si="1"/>
        <v>#DIV/0!</v>
      </c>
      <c r="E106" s="116"/>
    </row>
    <row r="107" spans="1:5" ht="19.5" customHeight="1">
      <c r="A107" s="177" t="s">
        <v>41</v>
      </c>
      <c r="B107" s="116"/>
      <c r="C107" s="116"/>
      <c r="D107" s="176" t="e">
        <f t="shared" si="1"/>
        <v>#DIV/0!</v>
      </c>
      <c r="E107" s="116"/>
    </row>
    <row r="108" spans="1:5" ht="19.5" customHeight="1">
      <c r="A108" s="177" t="s">
        <v>102</v>
      </c>
      <c r="B108" s="116"/>
      <c r="C108" s="116"/>
      <c r="D108" s="176" t="e">
        <f t="shared" si="1"/>
        <v>#DIV/0!</v>
      </c>
      <c r="E108" s="116"/>
    </row>
    <row r="109" spans="1:5" ht="19.5" customHeight="1">
      <c r="A109" s="178" t="s">
        <v>103</v>
      </c>
      <c r="B109" s="116"/>
      <c r="C109" s="116"/>
      <c r="D109" s="176" t="e">
        <f t="shared" si="1"/>
        <v>#DIV/0!</v>
      </c>
      <c r="E109" s="116"/>
    </row>
    <row r="110" spans="1:5" ht="19.5" customHeight="1">
      <c r="A110" s="178" t="s">
        <v>104</v>
      </c>
      <c r="B110" s="116"/>
      <c r="C110" s="116"/>
      <c r="D110" s="176" t="e">
        <f t="shared" si="1"/>
        <v>#DIV/0!</v>
      </c>
      <c r="E110" s="116"/>
    </row>
    <row r="111" spans="1:5" ht="19.5" customHeight="1">
      <c r="A111" s="178" t="s">
        <v>105</v>
      </c>
      <c r="B111" s="116"/>
      <c r="C111" s="116"/>
      <c r="D111" s="176" t="e">
        <f t="shared" si="1"/>
        <v>#DIV/0!</v>
      </c>
      <c r="E111" s="116"/>
    </row>
    <row r="112" spans="1:5" ht="19.5" customHeight="1">
      <c r="A112" s="177" t="s">
        <v>106</v>
      </c>
      <c r="B112" s="116"/>
      <c r="C112" s="116"/>
      <c r="D112" s="176" t="e">
        <f t="shared" si="1"/>
        <v>#DIV/0!</v>
      </c>
      <c r="E112" s="116"/>
    </row>
    <row r="113" spans="1:5" ht="19.5" customHeight="1">
      <c r="A113" s="177" t="s">
        <v>107</v>
      </c>
      <c r="B113" s="116"/>
      <c r="C113" s="116"/>
      <c r="D113" s="176" t="e">
        <f t="shared" si="1"/>
        <v>#DIV/0!</v>
      </c>
      <c r="E113" s="116"/>
    </row>
    <row r="114" spans="1:5" ht="19.5" customHeight="1">
      <c r="A114" s="177" t="s">
        <v>108</v>
      </c>
      <c r="B114" s="116"/>
      <c r="C114" s="116"/>
      <c r="D114" s="176" t="e">
        <f t="shared" si="1"/>
        <v>#DIV/0!</v>
      </c>
      <c r="E114" s="116"/>
    </row>
    <row r="115" spans="1:5" ht="19.5" customHeight="1">
      <c r="A115" s="178" t="s">
        <v>109</v>
      </c>
      <c r="B115" s="116"/>
      <c r="C115" s="116"/>
      <c r="D115" s="176" t="e">
        <f t="shared" si="1"/>
        <v>#DIV/0!</v>
      </c>
      <c r="E115" s="116"/>
    </row>
    <row r="116" spans="1:5" ht="19.5" customHeight="1">
      <c r="A116" s="178" t="s">
        <v>110</v>
      </c>
      <c r="B116" s="116"/>
      <c r="C116" s="116"/>
      <c r="D116" s="176" t="e">
        <f t="shared" si="1"/>
        <v>#DIV/0!</v>
      </c>
      <c r="E116" s="116"/>
    </row>
    <row r="117" spans="1:5" ht="19.5" customHeight="1">
      <c r="A117" s="178" t="s">
        <v>48</v>
      </c>
      <c r="B117" s="116"/>
      <c r="C117" s="116"/>
      <c r="D117" s="176" t="e">
        <f t="shared" si="1"/>
        <v>#DIV/0!</v>
      </c>
      <c r="E117" s="116"/>
    </row>
    <row r="118" spans="1:5" ht="19.5" customHeight="1">
      <c r="A118" s="178" t="s">
        <v>111</v>
      </c>
      <c r="B118" s="116"/>
      <c r="C118" s="116"/>
      <c r="D118" s="176" t="e">
        <f t="shared" si="1"/>
        <v>#DIV/0!</v>
      </c>
      <c r="E118" s="116"/>
    </row>
    <row r="119" spans="1:5" ht="19.5" customHeight="1">
      <c r="A119" s="116" t="s">
        <v>112</v>
      </c>
      <c r="B119" s="116">
        <f>SUM(B120:B127)</f>
        <v>376</v>
      </c>
      <c r="C119" s="114">
        <f>SUM(C120:C127)</f>
        <v>325</v>
      </c>
      <c r="D119" s="176">
        <f t="shared" si="1"/>
        <v>86.43617021276596</v>
      </c>
      <c r="E119" s="116"/>
    </row>
    <row r="120" spans="1:5" ht="19.5" customHeight="1">
      <c r="A120" s="177" t="s">
        <v>39</v>
      </c>
      <c r="B120" s="116">
        <v>273</v>
      </c>
      <c r="C120" s="116">
        <v>259</v>
      </c>
      <c r="D120" s="176">
        <f t="shared" si="1"/>
        <v>94.87179487179486</v>
      </c>
      <c r="E120" s="116"/>
    </row>
    <row r="121" spans="1:5" ht="19.5" customHeight="1">
      <c r="A121" s="177" t="s">
        <v>40</v>
      </c>
      <c r="B121" s="116">
        <v>103</v>
      </c>
      <c r="C121" s="116">
        <f>63+3</f>
        <v>66</v>
      </c>
      <c r="D121" s="176">
        <f t="shared" si="1"/>
        <v>64.07766990291263</v>
      </c>
      <c r="E121" s="116"/>
    </row>
    <row r="122" spans="1:5" ht="19.5" customHeight="1">
      <c r="A122" s="177" t="s">
        <v>41</v>
      </c>
      <c r="B122" s="116"/>
      <c r="C122" s="116"/>
      <c r="D122" s="176" t="e">
        <f t="shared" si="1"/>
        <v>#DIV/0!</v>
      </c>
      <c r="E122" s="116"/>
    </row>
    <row r="123" spans="1:5" ht="19.5" customHeight="1">
      <c r="A123" s="178" t="s">
        <v>113</v>
      </c>
      <c r="B123" s="116"/>
      <c r="C123" s="116"/>
      <c r="D123" s="176" t="e">
        <f t="shared" si="1"/>
        <v>#DIV/0!</v>
      </c>
      <c r="E123" s="116"/>
    </row>
    <row r="124" spans="1:5" ht="19.5" customHeight="1">
      <c r="A124" s="178" t="s">
        <v>114</v>
      </c>
      <c r="B124" s="116"/>
      <c r="C124" s="116"/>
      <c r="D124" s="176" t="e">
        <f t="shared" si="1"/>
        <v>#DIV/0!</v>
      </c>
      <c r="E124" s="116"/>
    </row>
    <row r="125" spans="1:5" ht="19.5" customHeight="1">
      <c r="A125" s="178" t="s">
        <v>115</v>
      </c>
      <c r="B125" s="116"/>
      <c r="C125" s="116"/>
      <c r="D125" s="176" t="e">
        <f t="shared" si="1"/>
        <v>#DIV/0!</v>
      </c>
      <c r="E125" s="116"/>
    </row>
    <row r="126" spans="1:5" ht="19.5" customHeight="1">
      <c r="A126" s="177" t="s">
        <v>48</v>
      </c>
      <c r="B126" s="116"/>
      <c r="C126" s="116"/>
      <c r="D126" s="176" t="e">
        <f t="shared" si="1"/>
        <v>#DIV/0!</v>
      </c>
      <c r="E126" s="116"/>
    </row>
    <row r="127" spans="1:5" ht="19.5" customHeight="1">
      <c r="A127" s="177" t="s">
        <v>116</v>
      </c>
      <c r="B127" s="116"/>
      <c r="C127" s="116"/>
      <c r="D127" s="176" t="e">
        <f t="shared" si="1"/>
        <v>#DIV/0!</v>
      </c>
      <c r="E127" s="116"/>
    </row>
    <row r="128" spans="1:5" ht="19.5" customHeight="1">
      <c r="A128" s="116" t="s">
        <v>117</v>
      </c>
      <c r="B128" s="116">
        <f>SUM(B129:B138)</f>
        <v>146</v>
      </c>
      <c r="C128" s="114">
        <f>SUM(C129:C138)</f>
        <v>132</v>
      </c>
      <c r="D128" s="176">
        <f t="shared" si="1"/>
        <v>90.41095890410958</v>
      </c>
      <c r="E128" s="116"/>
    </row>
    <row r="129" spans="1:5" ht="19.5" customHeight="1">
      <c r="A129" s="177" t="s">
        <v>39</v>
      </c>
      <c r="B129" s="116"/>
      <c r="C129" s="116"/>
      <c r="D129" s="176" t="e">
        <f t="shared" si="1"/>
        <v>#DIV/0!</v>
      </c>
      <c r="E129" s="116"/>
    </row>
    <row r="130" spans="1:5" ht="19.5" customHeight="1">
      <c r="A130" s="177" t="s">
        <v>40</v>
      </c>
      <c r="B130" s="116"/>
      <c r="C130" s="116"/>
      <c r="D130" s="176" t="e">
        <f t="shared" si="1"/>
        <v>#DIV/0!</v>
      </c>
      <c r="E130" s="116"/>
    </row>
    <row r="131" spans="1:5" ht="19.5" customHeight="1">
      <c r="A131" s="177" t="s">
        <v>41</v>
      </c>
      <c r="B131" s="116"/>
      <c r="C131" s="116"/>
      <c r="D131" s="176" t="e">
        <f t="shared" si="1"/>
        <v>#DIV/0!</v>
      </c>
      <c r="E131" s="116"/>
    </row>
    <row r="132" spans="1:5" ht="19.5" customHeight="1">
      <c r="A132" s="178" t="s">
        <v>118</v>
      </c>
      <c r="B132" s="116"/>
      <c r="C132" s="116"/>
      <c r="D132" s="176" t="e">
        <f t="shared" si="1"/>
        <v>#DIV/0!</v>
      </c>
      <c r="E132" s="116"/>
    </row>
    <row r="133" spans="1:5" ht="19.5" customHeight="1">
      <c r="A133" s="178" t="s">
        <v>119</v>
      </c>
      <c r="B133" s="116"/>
      <c r="C133" s="116"/>
      <c r="D133" s="176" t="e">
        <f aca="true" t="shared" si="2" ref="D133:D196">C133/B133*100</f>
        <v>#DIV/0!</v>
      </c>
      <c r="E133" s="116"/>
    </row>
    <row r="134" spans="1:5" ht="19.5" customHeight="1">
      <c r="A134" s="178" t="s">
        <v>120</v>
      </c>
      <c r="B134" s="116"/>
      <c r="C134" s="116"/>
      <c r="D134" s="176" t="e">
        <f t="shared" si="2"/>
        <v>#DIV/0!</v>
      </c>
      <c r="E134" s="116"/>
    </row>
    <row r="135" spans="1:5" ht="19.5" customHeight="1">
      <c r="A135" s="177" t="s">
        <v>121</v>
      </c>
      <c r="B135" s="116"/>
      <c r="C135" s="116"/>
      <c r="D135" s="176" t="e">
        <f t="shared" si="2"/>
        <v>#DIV/0!</v>
      </c>
      <c r="E135" s="116"/>
    </row>
    <row r="136" spans="1:5" ht="19.5" customHeight="1">
      <c r="A136" s="177" t="s">
        <v>122</v>
      </c>
      <c r="B136" s="116">
        <v>10</v>
      </c>
      <c r="C136" s="116">
        <v>10</v>
      </c>
      <c r="D136" s="176">
        <f t="shared" si="2"/>
        <v>100</v>
      </c>
      <c r="E136" s="116"/>
    </row>
    <row r="137" spans="1:5" ht="19.5" customHeight="1">
      <c r="A137" s="177" t="s">
        <v>48</v>
      </c>
      <c r="B137" s="116">
        <v>123</v>
      </c>
      <c r="C137" s="116">
        <v>122</v>
      </c>
      <c r="D137" s="176">
        <f t="shared" si="2"/>
        <v>99.1869918699187</v>
      </c>
      <c r="E137" s="116"/>
    </row>
    <row r="138" spans="1:5" ht="19.5" customHeight="1">
      <c r="A138" s="178" t="s">
        <v>123</v>
      </c>
      <c r="B138" s="116">
        <v>13</v>
      </c>
      <c r="C138" s="116"/>
      <c r="D138" s="176">
        <f t="shared" si="2"/>
        <v>0</v>
      </c>
      <c r="E138" s="116"/>
    </row>
    <row r="139" spans="1:5" ht="19.5" customHeight="1">
      <c r="A139" s="178" t="s">
        <v>124</v>
      </c>
      <c r="B139" s="116">
        <f>SUM(B140:B150)</f>
        <v>0</v>
      </c>
      <c r="C139" s="114">
        <f>SUM(C140:C150)</f>
        <v>0</v>
      </c>
      <c r="D139" s="176" t="e">
        <f t="shared" si="2"/>
        <v>#DIV/0!</v>
      </c>
      <c r="E139" s="116"/>
    </row>
    <row r="140" spans="1:5" ht="19.5" customHeight="1">
      <c r="A140" s="178" t="s">
        <v>39</v>
      </c>
      <c r="B140" s="116"/>
      <c r="C140" s="116"/>
      <c r="D140" s="176" t="e">
        <f t="shared" si="2"/>
        <v>#DIV/0!</v>
      </c>
      <c r="E140" s="116"/>
    </row>
    <row r="141" spans="1:5" ht="19.5" customHeight="1">
      <c r="A141" s="116" t="s">
        <v>40</v>
      </c>
      <c r="B141" s="116"/>
      <c r="C141" s="116"/>
      <c r="D141" s="176" t="e">
        <f t="shared" si="2"/>
        <v>#DIV/0!</v>
      </c>
      <c r="E141" s="116"/>
    </row>
    <row r="142" spans="1:5" ht="19.5" customHeight="1">
      <c r="A142" s="177" t="s">
        <v>41</v>
      </c>
      <c r="B142" s="116"/>
      <c r="C142" s="116"/>
      <c r="D142" s="176" t="e">
        <f t="shared" si="2"/>
        <v>#DIV/0!</v>
      </c>
      <c r="E142" s="116"/>
    </row>
    <row r="143" spans="1:5" ht="19.5" customHeight="1">
      <c r="A143" s="177" t="s">
        <v>125</v>
      </c>
      <c r="B143" s="116"/>
      <c r="C143" s="116"/>
      <c r="D143" s="176" t="e">
        <f t="shared" si="2"/>
        <v>#DIV/0!</v>
      </c>
      <c r="E143" s="116"/>
    </row>
    <row r="144" spans="1:5" ht="19.5" customHeight="1">
      <c r="A144" s="177" t="s">
        <v>126</v>
      </c>
      <c r="B144" s="116"/>
      <c r="C144" s="116"/>
      <c r="D144" s="176" t="e">
        <f t="shared" si="2"/>
        <v>#DIV/0!</v>
      </c>
      <c r="E144" s="116"/>
    </row>
    <row r="145" spans="1:5" ht="19.5" customHeight="1">
      <c r="A145" s="178" t="s">
        <v>127</v>
      </c>
      <c r="B145" s="116"/>
      <c r="C145" s="116"/>
      <c r="D145" s="176" t="e">
        <f t="shared" si="2"/>
        <v>#DIV/0!</v>
      </c>
      <c r="E145" s="116"/>
    </row>
    <row r="146" spans="1:5" ht="19.5" customHeight="1">
      <c r="A146" s="178" t="s">
        <v>128</v>
      </c>
      <c r="B146" s="116"/>
      <c r="C146" s="116"/>
      <c r="D146" s="176" t="e">
        <f t="shared" si="2"/>
        <v>#DIV/0!</v>
      </c>
      <c r="E146" s="116"/>
    </row>
    <row r="147" spans="1:5" ht="19.5" customHeight="1">
      <c r="A147" s="178" t="s">
        <v>129</v>
      </c>
      <c r="B147" s="116"/>
      <c r="C147" s="116"/>
      <c r="D147" s="176" t="e">
        <f t="shared" si="2"/>
        <v>#DIV/0!</v>
      </c>
      <c r="E147" s="116"/>
    </row>
    <row r="148" spans="1:5" ht="19.5" customHeight="1">
      <c r="A148" s="177" t="s">
        <v>130</v>
      </c>
      <c r="B148" s="116"/>
      <c r="C148" s="116"/>
      <c r="D148" s="176" t="e">
        <f t="shared" si="2"/>
        <v>#DIV/0!</v>
      </c>
      <c r="E148" s="116"/>
    </row>
    <row r="149" spans="1:5" ht="19.5" customHeight="1">
      <c r="A149" s="177" t="s">
        <v>48</v>
      </c>
      <c r="B149" s="116"/>
      <c r="C149" s="116"/>
      <c r="D149" s="176" t="e">
        <f t="shared" si="2"/>
        <v>#DIV/0!</v>
      </c>
      <c r="E149" s="116"/>
    </row>
    <row r="150" spans="1:5" ht="19.5" customHeight="1">
      <c r="A150" s="177" t="s">
        <v>131</v>
      </c>
      <c r="B150" s="116"/>
      <c r="C150" s="116"/>
      <c r="D150" s="176" t="e">
        <f t="shared" si="2"/>
        <v>#DIV/0!</v>
      </c>
      <c r="E150" s="116"/>
    </row>
    <row r="151" spans="1:5" ht="19.5" customHeight="1">
      <c r="A151" s="178" t="s">
        <v>132</v>
      </c>
      <c r="B151" s="116">
        <f>SUM(B152:B160)</f>
        <v>614</v>
      </c>
      <c r="C151" s="114">
        <f>SUM(C152:C160)</f>
        <v>884</v>
      </c>
      <c r="D151" s="176">
        <f t="shared" si="2"/>
        <v>143.9739413680782</v>
      </c>
      <c r="E151" s="116"/>
    </row>
    <row r="152" spans="1:5" ht="19.5" customHeight="1">
      <c r="A152" s="178" t="s">
        <v>39</v>
      </c>
      <c r="B152" s="116">
        <v>540</v>
      </c>
      <c r="C152" s="116">
        <v>809</v>
      </c>
      <c r="D152" s="176">
        <f t="shared" si="2"/>
        <v>149.8148148148148</v>
      </c>
      <c r="E152" s="116"/>
    </row>
    <row r="153" spans="1:5" ht="19.5" customHeight="1">
      <c r="A153" s="178" t="s">
        <v>40</v>
      </c>
      <c r="B153" s="116"/>
      <c r="C153" s="116"/>
      <c r="D153" s="176" t="e">
        <f t="shared" si="2"/>
        <v>#DIV/0!</v>
      </c>
      <c r="E153" s="116"/>
    </row>
    <row r="154" spans="1:5" ht="19.5" customHeight="1">
      <c r="A154" s="116" t="s">
        <v>41</v>
      </c>
      <c r="B154" s="116"/>
      <c r="C154" s="116"/>
      <c r="D154" s="176" t="e">
        <f t="shared" si="2"/>
        <v>#DIV/0!</v>
      </c>
      <c r="E154" s="116"/>
    </row>
    <row r="155" spans="1:5" ht="19.5" customHeight="1">
      <c r="A155" s="177" t="s">
        <v>133</v>
      </c>
      <c r="B155" s="116"/>
      <c r="C155" s="116">
        <f>5</f>
        <v>5</v>
      </c>
      <c r="D155" s="176" t="e">
        <f t="shared" si="2"/>
        <v>#DIV/0!</v>
      </c>
      <c r="E155" s="116"/>
    </row>
    <row r="156" spans="1:5" ht="19.5" customHeight="1">
      <c r="A156" s="177" t="s">
        <v>134</v>
      </c>
      <c r="B156" s="116">
        <v>16</v>
      </c>
      <c r="C156" s="116">
        <v>7</v>
      </c>
      <c r="D156" s="176">
        <f t="shared" si="2"/>
        <v>43.75</v>
      </c>
      <c r="E156" s="116"/>
    </row>
    <row r="157" spans="1:5" ht="19.5" customHeight="1">
      <c r="A157" s="177" t="s">
        <v>135</v>
      </c>
      <c r="B157" s="116"/>
      <c r="C157" s="116"/>
      <c r="D157" s="176" t="e">
        <f t="shared" si="2"/>
        <v>#DIV/0!</v>
      </c>
      <c r="E157" s="116"/>
    </row>
    <row r="158" spans="1:5" ht="19.5" customHeight="1">
      <c r="A158" s="178" t="s">
        <v>82</v>
      </c>
      <c r="B158" s="116"/>
      <c r="C158" s="116"/>
      <c r="D158" s="176" t="e">
        <f t="shared" si="2"/>
        <v>#DIV/0!</v>
      </c>
      <c r="E158" s="116"/>
    </row>
    <row r="159" spans="1:5" ht="19.5" customHeight="1">
      <c r="A159" s="178" t="s">
        <v>48</v>
      </c>
      <c r="B159" s="116"/>
      <c r="C159" s="116"/>
      <c r="D159" s="176" t="e">
        <f t="shared" si="2"/>
        <v>#DIV/0!</v>
      </c>
      <c r="E159" s="116"/>
    </row>
    <row r="160" spans="1:5" ht="19.5" customHeight="1">
      <c r="A160" s="178" t="s">
        <v>136</v>
      </c>
      <c r="B160" s="116">
        <v>58</v>
      </c>
      <c r="C160" s="116">
        <f>63</f>
        <v>63</v>
      </c>
      <c r="D160" s="176">
        <f t="shared" si="2"/>
        <v>108.62068965517241</v>
      </c>
      <c r="E160" s="116"/>
    </row>
    <row r="161" spans="1:5" ht="19.5" customHeight="1">
      <c r="A161" s="177" t="s">
        <v>137</v>
      </c>
      <c r="B161" s="116">
        <f>SUM(B162:B173)</f>
        <v>4</v>
      </c>
      <c r="C161" s="114">
        <f>SUM(C162:C173)</f>
        <v>0</v>
      </c>
      <c r="D161" s="176">
        <f t="shared" si="2"/>
        <v>0</v>
      </c>
      <c r="E161" s="116"/>
    </row>
    <row r="162" spans="1:5" ht="19.5" customHeight="1">
      <c r="A162" s="177" t="s">
        <v>39</v>
      </c>
      <c r="B162" s="116"/>
      <c r="C162" s="116"/>
      <c r="D162" s="176" t="e">
        <f t="shared" si="2"/>
        <v>#DIV/0!</v>
      </c>
      <c r="E162" s="116"/>
    </row>
    <row r="163" spans="1:5" ht="19.5" customHeight="1">
      <c r="A163" s="177" t="s">
        <v>40</v>
      </c>
      <c r="B163" s="116"/>
      <c r="C163" s="116"/>
      <c r="D163" s="176" t="e">
        <f t="shared" si="2"/>
        <v>#DIV/0!</v>
      </c>
      <c r="E163" s="116"/>
    </row>
    <row r="164" spans="1:5" ht="19.5" customHeight="1">
      <c r="A164" s="178" t="s">
        <v>41</v>
      </c>
      <c r="B164" s="116"/>
      <c r="C164" s="116"/>
      <c r="D164" s="176" t="e">
        <f t="shared" si="2"/>
        <v>#DIV/0!</v>
      </c>
      <c r="E164" s="116"/>
    </row>
    <row r="165" spans="1:5" ht="19.5" customHeight="1">
      <c r="A165" s="178" t="s">
        <v>138</v>
      </c>
      <c r="B165" s="116"/>
      <c r="C165" s="116"/>
      <c r="D165" s="176" t="e">
        <f t="shared" si="2"/>
        <v>#DIV/0!</v>
      </c>
      <c r="E165" s="116"/>
    </row>
    <row r="166" spans="1:5" ht="20.25" customHeight="1">
      <c r="A166" s="178" t="s">
        <v>139</v>
      </c>
      <c r="B166" s="116"/>
      <c r="C166" s="116"/>
      <c r="D166" s="176" t="e">
        <f t="shared" si="2"/>
        <v>#DIV/0!</v>
      </c>
      <c r="E166" s="116"/>
    </row>
    <row r="167" spans="1:5" ht="19.5" customHeight="1">
      <c r="A167" s="178" t="s">
        <v>140</v>
      </c>
      <c r="B167" s="116"/>
      <c r="C167" s="116"/>
      <c r="D167" s="176" t="e">
        <f t="shared" si="2"/>
        <v>#DIV/0!</v>
      </c>
      <c r="E167" s="116"/>
    </row>
    <row r="168" spans="1:5" ht="19.5" customHeight="1">
      <c r="A168" s="177" t="s">
        <v>141</v>
      </c>
      <c r="B168" s="116"/>
      <c r="C168" s="116"/>
      <c r="D168" s="176" t="e">
        <f t="shared" si="2"/>
        <v>#DIV/0!</v>
      </c>
      <c r="E168" s="116"/>
    </row>
    <row r="169" spans="1:5" ht="19.5" customHeight="1">
      <c r="A169" s="177" t="s">
        <v>142</v>
      </c>
      <c r="B169" s="116"/>
      <c r="C169" s="116"/>
      <c r="D169" s="176" t="e">
        <f t="shared" si="2"/>
        <v>#DIV/0!</v>
      </c>
      <c r="E169" s="116"/>
    </row>
    <row r="170" spans="1:5" ht="19.5" customHeight="1">
      <c r="A170" s="177" t="s">
        <v>143</v>
      </c>
      <c r="B170" s="116">
        <v>4</v>
      </c>
      <c r="C170" s="116"/>
      <c r="D170" s="176">
        <f t="shared" si="2"/>
        <v>0</v>
      </c>
      <c r="E170" s="116"/>
    </row>
    <row r="171" spans="1:5" ht="19.5" customHeight="1">
      <c r="A171" s="178" t="s">
        <v>82</v>
      </c>
      <c r="B171" s="116"/>
      <c r="C171" s="116"/>
      <c r="D171" s="176" t="e">
        <f t="shared" si="2"/>
        <v>#DIV/0!</v>
      </c>
      <c r="E171" s="116"/>
    </row>
    <row r="172" spans="1:5" ht="19.5" customHeight="1">
      <c r="A172" s="178" t="s">
        <v>48</v>
      </c>
      <c r="B172" s="116"/>
      <c r="C172" s="116"/>
      <c r="D172" s="176" t="e">
        <f t="shared" si="2"/>
        <v>#DIV/0!</v>
      </c>
      <c r="E172" s="116"/>
    </row>
    <row r="173" spans="1:5" ht="19.5" customHeight="1">
      <c r="A173" s="178" t="s">
        <v>144</v>
      </c>
      <c r="B173" s="116"/>
      <c r="C173" s="116"/>
      <c r="D173" s="176" t="e">
        <f t="shared" si="2"/>
        <v>#DIV/0!</v>
      </c>
      <c r="E173" s="116"/>
    </row>
    <row r="174" spans="1:5" ht="19.5" customHeight="1">
      <c r="A174" s="177" t="s">
        <v>145</v>
      </c>
      <c r="B174" s="116">
        <f>SUM(B175:B180)</f>
        <v>0</v>
      </c>
      <c r="C174" s="114">
        <f>SUM(C175:C180)</f>
        <v>0</v>
      </c>
      <c r="D174" s="176" t="e">
        <f t="shared" si="2"/>
        <v>#DIV/0!</v>
      </c>
      <c r="E174" s="116"/>
    </row>
    <row r="175" spans="1:5" ht="19.5" customHeight="1">
      <c r="A175" s="177" t="s">
        <v>39</v>
      </c>
      <c r="B175" s="136"/>
      <c r="C175" s="136"/>
      <c r="D175" s="176" t="e">
        <f t="shared" si="2"/>
        <v>#DIV/0!</v>
      </c>
      <c r="E175" s="116"/>
    </row>
    <row r="176" spans="1:5" s="125" customFormat="1" ht="19.5" customHeight="1">
      <c r="A176" s="177" t="s">
        <v>40</v>
      </c>
      <c r="B176" s="116"/>
      <c r="C176" s="116"/>
      <c r="D176" s="176" t="e">
        <f t="shared" si="2"/>
        <v>#DIV/0!</v>
      </c>
      <c r="E176" s="116"/>
    </row>
    <row r="177" spans="1:5" ht="19.5" customHeight="1">
      <c r="A177" s="178" t="s">
        <v>41</v>
      </c>
      <c r="B177" s="116"/>
      <c r="C177" s="116"/>
      <c r="D177" s="176" t="e">
        <f t="shared" si="2"/>
        <v>#DIV/0!</v>
      </c>
      <c r="E177" s="116"/>
    </row>
    <row r="178" spans="1:5" ht="19.5" customHeight="1">
      <c r="A178" s="178" t="s">
        <v>146</v>
      </c>
      <c r="B178" s="116"/>
      <c r="C178" s="116"/>
      <c r="D178" s="176" t="e">
        <f t="shared" si="2"/>
        <v>#DIV/0!</v>
      </c>
      <c r="E178" s="116"/>
    </row>
    <row r="179" spans="1:5" ht="19.5" customHeight="1">
      <c r="A179" s="178" t="s">
        <v>48</v>
      </c>
      <c r="B179" s="116"/>
      <c r="C179" s="116"/>
      <c r="D179" s="176" t="e">
        <f t="shared" si="2"/>
        <v>#DIV/0!</v>
      </c>
      <c r="E179" s="116"/>
    </row>
    <row r="180" spans="1:5" ht="19.5" customHeight="1">
      <c r="A180" s="116" t="s">
        <v>147</v>
      </c>
      <c r="B180" s="116"/>
      <c r="C180" s="116"/>
      <c r="D180" s="176" t="e">
        <f t="shared" si="2"/>
        <v>#DIV/0!</v>
      </c>
      <c r="E180" s="116"/>
    </row>
    <row r="181" spans="1:5" ht="19.5" customHeight="1">
      <c r="A181" s="177" t="s">
        <v>148</v>
      </c>
      <c r="B181" s="116">
        <f>SUM(B182:B187)</f>
        <v>0</v>
      </c>
      <c r="C181" s="114">
        <f>SUM(C182:C187)</f>
        <v>0</v>
      </c>
      <c r="D181" s="176" t="e">
        <f t="shared" si="2"/>
        <v>#DIV/0!</v>
      </c>
      <c r="E181" s="116"/>
    </row>
    <row r="182" spans="1:5" ht="19.5" customHeight="1">
      <c r="A182" s="177" t="s">
        <v>39</v>
      </c>
      <c r="B182" s="116"/>
      <c r="C182" s="116"/>
      <c r="D182" s="176" t="e">
        <f t="shared" si="2"/>
        <v>#DIV/0!</v>
      </c>
      <c r="E182" s="116"/>
    </row>
    <row r="183" spans="1:5" ht="20.25" customHeight="1">
      <c r="A183" s="177" t="s">
        <v>40</v>
      </c>
      <c r="B183" s="116"/>
      <c r="C183" s="116"/>
      <c r="D183" s="176" t="e">
        <f t="shared" si="2"/>
        <v>#DIV/0!</v>
      </c>
      <c r="E183" s="116"/>
    </row>
    <row r="184" spans="1:5" ht="19.5" customHeight="1">
      <c r="A184" s="178" t="s">
        <v>41</v>
      </c>
      <c r="B184" s="116"/>
      <c r="C184" s="116"/>
      <c r="D184" s="176" t="e">
        <f t="shared" si="2"/>
        <v>#DIV/0!</v>
      </c>
      <c r="E184" s="116"/>
    </row>
    <row r="185" spans="1:5" ht="19.5" customHeight="1">
      <c r="A185" s="178" t="s">
        <v>149</v>
      </c>
      <c r="B185" s="116"/>
      <c r="C185" s="116"/>
      <c r="D185" s="176" t="e">
        <f t="shared" si="2"/>
        <v>#DIV/0!</v>
      </c>
      <c r="E185" s="116"/>
    </row>
    <row r="186" spans="1:5" ht="19.5" customHeight="1">
      <c r="A186" s="178" t="s">
        <v>48</v>
      </c>
      <c r="B186" s="116"/>
      <c r="C186" s="116"/>
      <c r="D186" s="176" t="e">
        <f t="shared" si="2"/>
        <v>#DIV/0!</v>
      </c>
      <c r="E186" s="116"/>
    </row>
    <row r="187" spans="1:5" ht="19.5" customHeight="1">
      <c r="A187" s="177" t="s">
        <v>150</v>
      </c>
      <c r="B187" s="116"/>
      <c r="C187" s="116"/>
      <c r="D187" s="176" t="e">
        <f t="shared" si="2"/>
        <v>#DIV/0!</v>
      </c>
      <c r="E187" s="116"/>
    </row>
    <row r="188" spans="1:5" ht="19.5" customHeight="1">
      <c r="A188" s="177" t="s">
        <v>151</v>
      </c>
      <c r="B188" s="116">
        <f>SUM(B189:B196)</f>
        <v>0</v>
      </c>
      <c r="C188" s="114">
        <f>SUM(C189:C196)</f>
        <v>0</v>
      </c>
      <c r="D188" s="176" t="e">
        <f t="shared" si="2"/>
        <v>#DIV/0!</v>
      </c>
      <c r="E188" s="116"/>
    </row>
    <row r="189" spans="1:5" ht="19.5" customHeight="1">
      <c r="A189" s="177" t="s">
        <v>39</v>
      </c>
      <c r="B189" s="116"/>
      <c r="C189" s="116"/>
      <c r="D189" s="176" t="e">
        <f t="shared" si="2"/>
        <v>#DIV/0!</v>
      </c>
      <c r="E189" s="116"/>
    </row>
    <row r="190" spans="1:5" ht="19.5" customHeight="1">
      <c r="A190" s="178" t="s">
        <v>40</v>
      </c>
      <c r="B190" s="116"/>
      <c r="C190" s="116"/>
      <c r="D190" s="176" t="e">
        <f t="shared" si="2"/>
        <v>#DIV/0!</v>
      </c>
      <c r="E190" s="116"/>
    </row>
    <row r="191" spans="1:5" ht="19.5" customHeight="1">
      <c r="A191" s="178" t="s">
        <v>41</v>
      </c>
      <c r="B191" s="116"/>
      <c r="C191" s="116"/>
      <c r="D191" s="176" t="e">
        <f t="shared" si="2"/>
        <v>#DIV/0!</v>
      </c>
      <c r="E191" s="116"/>
    </row>
    <row r="192" spans="1:5" ht="19.5" customHeight="1">
      <c r="A192" s="178" t="s">
        <v>152</v>
      </c>
      <c r="B192" s="116"/>
      <c r="C192" s="116"/>
      <c r="D192" s="176" t="e">
        <f t="shared" si="2"/>
        <v>#DIV/0!</v>
      </c>
      <c r="E192" s="116"/>
    </row>
    <row r="193" spans="1:5" ht="19.5" customHeight="1">
      <c r="A193" s="116" t="s">
        <v>153</v>
      </c>
      <c r="B193" s="116"/>
      <c r="C193" s="116"/>
      <c r="D193" s="176" t="e">
        <f t="shared" si="2"/>
        <v>#DIV/0!</v>
      </c>
      <c r="E193" s="116"/>
    </row>
    <row r="194" spans="1:5" ht="19.5" customHeight="1">
      <c r="A194" s="177" t="s">
        <v>154</v>
      </c>
      <c r="B194" s="116"/>
      <c r="C194" s="116"/>
      <c r="D194" s="176" t="e">
        <f t="shared" si="2"/>
        <v>#DIV/0!</v>
      </c>
      <c r="E194" s="116"/>
    </row>
    <row r="195" spans="1:5" ht="19.5" customHeight="1">
      <c r="A195" s="177" t="s">
        <v>48</v>
      </c>
      <c r="B195" s="116"/>
      <c r="C195" s="116"/>
      <c r="D195" s="176" t="e">
        <f t="shared" si="2"/>
        <v>#DIV/0!</v>
      </c>
      <c r="E195" s="116"/>
    </row>
    <row r="196" spans="1:5" ht="19.5" customHeight="1">
      <c r="A196" s="177" t="s">
        <v>155</v>
      </c>
      <c r="B196" s="116"/>
      <c r="C196" s="116"/>
      <c r="D196" s="176" t="e">
        <f t="shared" si="2"/>
        <v>#DIV/0!</v>
      </c>
      <c r="E196" s="116"/>
    </row>
    <row r="197" spans="1:5" ht="19.5" customHeight="1">
      <c r="A197" s="178" t="s">
        <v>156</v>
      </c>
      <c r="B197" s="116">
        <f>SUM(B198:B202)</f>
        <v>106</v>
      </c>
      <c r="C197" s="114">
        <f>SUM(C198:C202)</f>
        <v>79</v>
      </c>
      <c r="D197" s="176">
        <f aca="true" t="shared" si="3" ref="D197:D260">C197/B197*100</f>
        <v>74.52830188679245</v>
      </c>
      <c r="E197" s="116"/>
    </row>
    <row r="198" spans="1:5" ht="19.5" customHeight="1">
      <c r="A198" s="178" t="s">
        <v>39</v>
      </c>
      <c r="B198" s="116">
        <v>66</v>
      </c>
      <c r="C198" s="116">
        <v>67</v>
      </c>
      <c r="D198" s="176">
        <f t="shared" si="3"/>
        <v>101.51515151515152</v>
      </c>
      <c r="E198" s="116"/>
    </row>
    <row r="199" spans="1:5" ht="19.5" customHeight="1">
      <c r="A199" s="178" t="s">
        <v>40</v>
      </c>
      <c r="B199" s="116">
        <v>31</v>
      </c>
      <c r="C199" s="116">
        <v>2</v>
      </c>
      <c r="D199" s="176">
        <f t="shared" si="3"/>
        <v>6.451612903225806</v>
      </c>
      <c r="E199" s="116"/>
    </row>
    <row r="200" spans="1:5" ht="19.5" customHeight="1">
      <c r="A200" s="177" t="s">
        <v>41</v>
      </c>
      <c r="B200" s="116"/>
      <c r="C200" s="116"/>
      <c r="D200" s="176" t="e">
        <f t="shared" si="3"/>
        <v>#DIV/0!</v>
      </c>
      <c r="E200" s="116"/>
    </row>
    <row r="201" spans="1:5" ht="19.5" customHeight="1">
      <c r="A201" s="177" t="s">
        <v>157</v>
      </c>
      <c r="B201" s="116">
        <v>9</v>
      </c>
      <c r="C201" s="116">
        <v>10</v>
      </c>
      <c r="D201" s="176">
        <f t="shared" si="3"/>
        <v>111.11111111111111</v>
      </c>
      <c r="E201" s="116"/>
    </row>
    <row r="202" spans="1:5" ht="19.5" customHeight="1">
      <c r="A202" s="177" t="s">
        <v>158</v>
      </c>
      <c r="B202" s="116"/>
      <c r="C202" s="116"/>
      <c r="D202" s="176" t="e">
        <f t="shared" si="3"/>
        <v>#DIV/0!</v>
      </c>
      <c r="E202" s="116"/>
    </row>
    <row r="203" spans="1:5" ht="19.5" customHeight="1">
      <c r="A203" s="178" t="s">
        <v>159</v>
      </c>
      <c r="B203" s="116">
        <f>SUM(B204:B209)</f>
        <v>65</v>
      </c>
      <c r="C203" s="114">
        <f>SUM(C204:C209)</f>
        <v>51</v>
      </c>
      <c r="D203" s="176">
        <f t="shared" si="3"/>
        <v>78.46153846153847</v>
      </c>
      <c r="E203" s="116"/>
    </row>
    <row r="204" spans="1:5" ht="19.5" customHeight="1">
      <c r="A204" s="178" t="s">
        <v>39</v>
      </c>
      <c r="B204" s="116">
        <v>65</v>
      </c>
      <c r="C204" s="116">
        <v>48</v>
      </c>
      <c r="D204" s="176">
        <f t="shared" si="3"/>
        <v>73.84615384615385</v>
      </c>
      <c r="E204" s="116"/>
    </row>
    <row r="205" spans="1:5" ht="19.5" customHeight="1">
      <c r="A205" s="178" t="s">
        <v>40</v>
      </c>
      <c r="B205" s="116"/>
      <c r="C205" s="116">
        <v>3</v>
      </c>
      <c r="D205" s="176" t="e">
        <f t="shared" si="3"/>
        <v>#DIV/0!</v>
      </c>
      <c r="E205" s="116"/>
    </row>
    <row r="206" spans="1:5" ht="19.5" customHeight="1">
      <c r="A206" s="116" t="s">
        <v>41</v>
      </c>
      <c r="B206" s="116"/>
      <c r="C206" s="116"/>
      <c r="D206" s="176" t="e">
        <f t="shared" si="3"/>
        <v>#DIV/0!</v>
      </c>
      <c r="E206" s="116"/>
    </row>
    <row r="207" spans="1:5" ht="19.5" customHeight="1">
      <c r="A207" s="177" t="s">
        <v>53</v>
      </c>
      <c r="B207" s="116"/>
      <c r="C207" s="116"/>
      <c r="D207" s="176" t="e">
        <f t="shared" si="3"/>
        <v>#DIV/0!</v>
      </c>
      <c r="E207" s="116"/>
    </row>
    <row r="208" spans="1:5" ht="19.5" customHeight="1">
      <c r="A208" s="177" t="s">
        <v>48</v>
      </c>
      <c r="B208" s="116"/>
      <c r="C208" s="116"/>
      <c r="D208" s="176" t="e">
        <f t="shared" si="3"/>
        <v>#DIV/0!</v>
      </c>
      <c r="E208" s="116"/>
    </row>
    <row r="209" spans="1:5" ht="19.5" customHeight="1">
      <c r="A209" s="177" t="s">
        <v>160</v>
      </c>
      <c r="B209" s="116"/>
      <c r="C209" s="116"/>
      <c r="D209" s="176" t="e">
        <f t="shared" si="3"/>
        <v>#DIV/0!</v>
      </c>
      <c r="E209" s="116"/>
    </row>
    <row r="210" spans="1:5" ht="19.5" customHeight="1">
      <c r="A210" s="178" t="s">
        <v>161</v>
      </c>
      <c r="B210" s="116">
        <f>SUM(B211:B217)</f>
        <v>84</v>
      </c>
      <c r="C210" s="114">
        <f>SUM(C211:C217)</f>
        <v>83</v>
      </c>
      <c r="D210" s="176">
        <f t="shared" si="3"/>
        <v>98.80952380952381</v>
      </c>
      <c r="E210" s="116"/>
    </row>
    <row r="211" spans="1:5" ht="19.5" customHeight="1">
      <c r="A211" s="178" t="s">
        <v>39</v>
      </c>
      <c r="B211" s="136"/>
      <c r="C211" s="136"/>
      <c r="D211" s="176" t="e">
        <f t="shared" si="3"/>
        <v>#DIV/0!</v>
      </c>
      <c r="E211" s="136"/>
    </row>
    <row r="212" spans="1:5" ht="19.5" customHeight="1">
      <c r="A212" s="178" t="s">
        <v>40</v>
      </c>
      <c r="B212" s="136"/>
      <c r="C212" s="136"/>
      <c r="D212" s="176" t="e">
        <f t="shared" si="3"/>
        <v>#DIV/0!</v>
      </c>
      <c r="E212" s="136"/>
    </row>
    <row r="213" spans="1:5" ht="19.5" customHeight="1">
      <c r="A213" s="177" t="s">
        <v>41</v>
      </c>
      <c r="B213" s="136"/>
      <c r="C213" s="136"/>
      <c r="D213" s="176" t="e">
        <f t="shared" si="3"/>
        <v>#DIV/0!</v>
      </c>
      <c r="E213" s="136"/>
    </row>
    <row r="214" spans="1:5" ht="19.5" customHeight="1">
      <c r="A214" s="177" t="s">
        <v>162</v>
      </c>
      <c r="B214" s="116"/>
      <c r="C214" s="116"/>
      <c r="D214" s="176" t="e">
        <f t="shared" si="3"/>
        <v>#DIV/0!</v>
      </c>
      <c r="E214" s="116"/>
    </row>
    <row r="215" spans="1:5" ht="19.5" customHeight="1">
      <c r="A215" s="177" t="s">
        <v>163</v>
      </c>
      <c r="B215" s="116"/>
      <c r="C215" s="116"/>
      <c r="D215" s="176" t="e">
        <f t="shared" si="3"/>
        <v>#DIV/0!</v>
      </c>
      <c r="E215" s="116"/>
    </row>
    <row r="216" spans="1:5" ht="19.5" customHeight="1">
      <c r="A216" s="178" t="s">
        <v>48</v>
      </c>
      <c r="B216" s="138"/>
      <c r="C216" s="138"/>
      <c r="D216" s="176" t="e">
        <f t="shared" si="3"/>
        <v>#DIV/0!</v>
      </c>
      <c r="E216" s="116"/>
    </row>
    <row r="217" spans="1:5" ht="19.5" customHeight="1">
      <c r="A217" s="178" t="s">
        <v>164</v>
      </c>
      <c r="B217" s="138">
        <v>84</v>
      </c>
      <c r="C217" s="138">
        <f>24+59</f>
        <v>83</v>
      </c>
      <c r="D217" s="176">
        <f t="shared" si="3"/>
        <v>98.80952380952381</v>
      </c>
      <c r="E217" s="116"/>
    </row>
    <row r="218" spans="1:5" ht="19.5" customHeight="1">
      <c r="A218" s="178" t="s">
        <v>165</v>
      </c>
      <c r="B218" s="138">
        <f>SUM(B219:B224)</f>
        <v>1292</v>
      </c>
      <c r="C218" s="179">
        <f>SUM(C219:C224)</f>
        <v>1235</v>
      </c>
      <c r="D218" s="176">
        <f t="shared" si="3"/>
        <v>95.58823529411765</v>
      </c>
      <c r="E218" s="116"/>
    </row>
    <row r="219" spans="1:5" ht="19.5" customHeight="1">
      <c r="A219" s="178" t="s">
        <v>39</v>
      </c>
      <c r="B219" s="138">
        <v>1202</v>
      </c>
      <c r="C219" s="138">
        <f>1219</f>
        <v>1219</v>
      </c>
      <c r="D219" s="176">
        <f t="shared" si="3"/>
        <v>101.41430948419301</v>
      </c>
      <c r="E219" s="116"/>
    </row>
    <row r="220" spans="1:5" ht="19.5" customHeight="1">
      <c r="A220" s="177" t="s">
        <v>40</v>
      </c>
      <c r="B220" s="171">
        <v>90</v>
      </c>
      <c r="C220" s="171">
        <v>16</v>
      </c>
      <c r="D220" s="176">
        <f t="shared" si="3"/>
        <v>17.77777777777778</v>
      </c>
      <c r="E220" s="116"/>
    </row>
    <row r="221" spans="1:5" ht="19.5" customHeight="1">
      <c r="A221" s="177" t="s">
        <v>41</v>
      </c>
      <c r="B221" s="171"/>
      <c r="C221" s="171"/>
      <c r="D221" s="176" t="e">
        <f t="shared" si="3"/>
        <v>#DIV/0!</v>
      </c>
      <c r="E221" s="116"/>
    </row>
    <row r="222" spans="1:5" ht="19.5" customHeight="1">
      <c r="A222" s="177" t="s">
        <v>166</v>
      </c>
      <c r="B222" s="171"/>
      <c r="C222" s="171"/>
      <c r="D222" s="176" t="e">
        <f t="shared" si="3"/>
        <v>#DIV/0!</v>
      </c>
      <c r="E222" s="116"/>
    </row>
    <row r="223" spans="1:5" ht="19.5" customHeight="1">
      <c r="A223" s="178" t="s">
        <v>48</v>
      </c>
      <c r="B223" s="171"/>
      <c r="C223" s="171"/>
      <c r="D223" s="176" t="e">
        <f t="shared" si="3"/>
        <v>#DIV/0!</v>
      </c>
      <c r="E223" s="116"/>
    </row>
    <row r="224" spans="1:5" ht="19.5" customHeight="1">
      <c r="A224" s="178" t="s">
        <v>167</v>
      </c>
      <c r="B224" s="171"/>
      <c r="C224" s="171"/>
      <c r="D224" s="176" t="e">
        <f t="shared" si="3"/>
        <v>#DIV/0!</v>
      </c>
      <c r="E224" s="116"/>
    </row>
    <row r="225" spans="1:5" ht="19.5" customHeight="1">
      <c r="A225" s="178" t="s">
        <v>168</v>
      </c>
      <c r="B225" s="171">
        <f>SUM(B226:B230)</f>
        <v>466</v>
      </c>
      <c r="C225" s="180">
        <f>SUM(C226:C230)</f>
        <v>520</v>
      </c>
      <c r="D225" s="176">
        <f t="shared" si="3"/>
        <v>111.58798283261801</v>
      </c>
      <c r="E225" s="116"/>
    </row>
    <row r="226" spans="1:5" ht="19.5" customHeight="1">
      <c r="A226" s="177" t="s">
        <v>39</v>
      </c>
      <c r="B226" s="171">
        <v>253</v>
      </c>
      <c r="C226" s="171">
        <v>252</v>
      </c>
      <c r="D226" s="176">
        <f t="shared" si="3"/>
        <v>99.60474308300395</v>
      </c>
      <c r="E226" s="116"/>
    </row>
    <row r="227" spans="1:5" ht="19.5" customHeight="1">
      <c r="A227" s="177" t="s">
        <v>40</v>
      </c>
      <c r="B227" s="171">
        <v>212</v>
      </c>
      <c r="C227" s="171">
        <f>4+150+98+11</f>
        <v>263</v>
      </c>
      <c r="D227" s="176">
        <f t="shared" si="3"/>
        <v>124.0566037735849</v>
      </c>
      <c r="E227" s="116"/>
    </row>
    <row r="228" spans="1:5" ht="19.5" customHeight="1">
      <c r="A228" s="177" t="s">
        <v>41</v>
      </c>
      <c r="B228" s="138"/>
      <c r="C228" s="138"/>
      <c r="D228" s="176" t="e">
        <f t="shared" si="3"/>
        <v>#DIV/0!</v>
      </c>
      <c r="E228" s="116"/>
    </row>
    <row r="229" spans="1:5" ht="19.5" customHeight="1">
      <c r="A229" s="178" t="s">
        <v>48</v>
      </c>
      <c r="B229" s="138"/>
      <c r="C229" s="138"/>
      <c r="D229" s="176" t="e">
        <f t="shared" si="3"/>
        <v>#DIV/0!</v>
      </c>
      <c r="E229" s="116"/>
    </row>
    <row r="230" spans="1:5" ht="19.5" customHeight="1">
      <c r="A230" s="178" t="s">
        <v>169</v>
      </c>
      <c r="B230" s="138">
        <v>1</v>
      </c>
      <c r="C230" s="138">
        <v>5</v>
      </c>
      <c r="D230" s="176">
        <f t="shared" si="3"/>
        <v>500</v>
      </c>
      <c r="E230" s="116"/>
    </row>
    <row r="231" spans="1:5" ht="19.5" customHeight="1">
      <c r="A231" s="178" t="s">
        <v>170</v>
      </c>
      <c r="B231" s="138">
        <f>SUM(B232:B236)</f>
        <v>235</v>
      </c>
      <c r="C231" s="179">
        <f>SUM(C232:C236)</f>
        <v>259</v>
      </c>
      <c r="D231" s="176">
        <f t="shared" si="3"/>
        <v>110.2127659574468</v>
      </c>
      <c r="E231" s="116"/>
    </row>
    <row r="232" spans="1:5" ht="19.5" customHeight="1">
      <c r="A232" s="116" t="s">
        <v>39</v>
      </c>
      <c r="B232" s="116">
        <v>102</v>
      </c>
      <c r="C232" s="116">
        <f>127</f>
        <v>127</v>
      </c>
      <c r="D232" s="176">
        <f t="shared" si="3"/>
        <v>124.50980392156863</v>
      </c>
      <c r="E232" s="116"/>
    </row>
    <row r="233" spans="1:5" ht="19.5" customHeight="1">
      <c r="A233" s="177" t="s">
        <v>40</v>
      </c>
      <c r="B233" s="116">
        <v>133</v>
      </c>
      <c r="C233" s="116">
        <f>30+102</f>
        <v>132</v>
      </c>
      <c r="D233" s="176">
        <f t="shared" si="3"/>
        <v>99.24812030075188</v>
      </c>
      <c r="E233" s="116"/>
    </row>
    <row r="234" spans="1:5" ht="19.5" customHeight="1">
      <c r="A234" s="177" t="s">
        <v>41</v>
      </c>
      <c r="B234" s="116"/>
      <c r="C234" s="116"/>
      <c r="D234" s="176" t="e">
        <f t="shared" si="3"/>
        <v>#DIV/0!</v>
      </c>
      <c r="E234" s="116"/>
    </row>
    <row r="235" spans="1:5" ht="19.5" customHeight="1">
      <c r="A235" s="177" t="s">
        <v>48</v>
      </c>
      <c r="B235" s="116"/>
      <c r="C235" s="116"/>
      <c r="D235" s="176" t="e">
        <f t="shared" si="3"/>
        <v>#DIV/0!</v>
      </c>
      <c r="E235" s="116"/>
    </row>
    <row r="236" spans="1:5" ht="19.5" customHeight="1">
      <c r="A236" s="178" t="s">
        <v>171</v>
      </c>
      <c r="B236" s="116"/>
      <c r="C236" s="116"/>
      <c r="D236" s="176" t="e">
        <f t="shared" si="3"/>
        <v>#DIV/0!</v>
      </c>
      <c r="E236" s="116"/>
    </row>
    <row r="237" spans="1:5" ht="19.5" customHeight="1">
      <c r="A237" s="178" t="s">
        <v>172</v>
      </c>
      <c r="B237" s="116">
        <f>SUM(B238:B242)</f>
        <v>70</v>
      </c>
      <c r="C237" s="114">
        <f>SUM(C238:C242)</f>
        <v>81</v>
      </c>
      <c r="D237" s="176">
        <f t="shared" si="3"/>
        <v>115.71428571428572</v>
      </c>
      <c r="E237" s="116"/>
    </row>
    <row r="238" spans="1:5" ht="19.5" customHeight="1">
      <c r="A238" s="178" t="s">
        <v>39</v>
      </c>
      <c r="B238" s="116">
        <v>70</v>
      </c>
      <c r="C238" s="116">
        <f>79</f>
        <v>79</v>
      </c>
      <c r="D238" s="176">
        <f t="shared" si="3"/>
        <v>112.85714285714286</v>
      </c>
      <c r="E238" s="116"/>
    </row>
    <row r="239" spans="1:5" ht="19.5" customHeight="1">
      <c r="A239" s="177" t="s">
        <v>40</v>
      </c>
      <c r="B239" s="116"/>
      <c r="C239" s="116">
        <f>2</f>
        <v>2</v>
      </c>
      <c r="D239" s="176" t="e">
        <f t="shared" si="3"/>
        <v>#DIV/0!</v>
      </c>
      <c r="E239" s="116"/>
    </row>
    <row r="240" spans="1:5" ht="19.5" customHeight="1">
      <c r="A240" s="177" t="s">
        <v>41</v>
      </c>
      <c r="B240" s="116"/>
      <c r="C240" s="116"/>
      <c r="D240" s="176" t="e">
        <f t="shared" si="3"/>
        <v>#DIV/0!</v>
      </c>
      <c r="E240" s="116"/>
    </row>
    <row r="241" spans="1:5" ht="19.5" customHeight="1">
      <c r="A241" s="177" t="s">
        <v>48</v>
      </c>
      <c r="B241" s="116"/>
      <c r="C241" s="116"/>
      <c r="D241" s="176" t="e">
        <f t="shared" si="3"/>
        <v>#DIV/0!</v>
      </c>
      <c r="E241" s="116"/>
    </row>
    <row r="242" spans="1:5" ht="19.5" customHeight="1">
      <c r="A242" s="178" t="s">
        <v>173</v>
      </c>
      <c r="B242" s="116"/>
      <c r="C242" s="116"/>
      <c r="D242" s="176" t="e">
        <f t="shared" si="3"/>
        <v>#DIV/0!</v>
      </c>
      <c r="E242" s="116"/>
    </row>
    <row r="243" spans="1:5" ht="19.5" customHeight="1">
      <c r="A243" s="178" t="s">
        <v>174</v>
      </c>
      <c r="B243" s="116">
        <f>SUM(B244:B248)</f>
        <v>0</v>
      </c>
      <c r="C243" s="114">
        <f>SUM(C244:C248)</f>
        <v>0</v>
      </c>
      <c r="D243" s="176" t="e">
        <f t="shared" si="3"/>
        <v>#DIV/0!</v>
      </c>
      <c r="E243" s="116"/>
    </row>
    <row r="244" spans="1:5" ht="19.5" customHeight="1">
      <c r="A244" s="178" t="s">
        <v>39</v>
      </c>
      <c r="B244" s="116"/>
      <c r="C244" s="116"/>
      <c r="D244" s="176" t="e">
        <f t="shared" si="3"/>
        <v>#DIV/0!</v>
      </c>
      <c r="E244" s="116"/>
    </row>
    <row r="245" spans="1:5" ht="19.5" customHeight="1">
      <c r="A245" s="116" t="s">
        <v>40</v>
      </c>
      <c r="B245" s="116"/>
      <c r="C245" s="116"/>
      <c r="D245" s="176" t="e">
        <f t="shared" si="3"/>
        <v>#DIV/0!</v>
      </c>
      <c r="E245" s="116"/>
    </row>
    <row r="246" spans="1:5" ht="19.5" customHeight="1">
      <c r="A246" s="177" t="s">
        <v>41</v>
      </c>
      <c r="B246" s="116"/>
      <c r="C246" s="116"/>
      <c r="D246" s="176" t="e">
        <f t="shared" si="3"/>
        <v>#DIV/0!</v>
      </c>
      <c r="E246" s="116"/>
    </row>
    <row r="247" spans="1:5" ht="19.5" customHeight="1">
      <c r="A247" s="177" t="s">
        <v>48</v>
      </c>
      <c r="B247" s="116"/>
      <c r="C247" s="116"/>
      <c r="D247" s="176" t="e">
        <f t="shared" si="3"/>
        <v>#DIV/0!</v>
      </c>
      <c r="E247" s="116"/>
    </row>
    <row r="248" spans="1:5" ht="19.5" customHeight="1">
      <c r="A248" s="177" t="s">
        <v>175</v>
      </c>
      <c r="B248" s="116"/>
      <c r="C248" s="116"/>
      <c r="D248" s="176" t="e">
        <f t="shared" si="3"/>
        <v>#DIV/0!</v>
      </c>
      <c r="E248" s="116"/>
    </row>
    <row r="249" spans="1:5" ht="19.5" customHeight="1">
      <c r="A249" s="178" t="s">
        <v>176</v>
      </c>
      <c r="B249" s="116">
        <f>SUM(B250:B254)</f>
        <v>0</v>
      </c>
      <c r="C249" s="114">
        <f>SUM(C250:C254)</f>
        <v>0</v>
      </c>
      <c r="D249" s="176" t="e">
        <f t="shared" si="3"/>
        <v>#DIV/0!</v>
      </c>
      <c r="E249" s="116"/>
    </row>
    <row r="250" spans="1:5" ht="19.5" customHeight="1">
      <c r="A250" s="178" t="s">
        <v>39</v>
      </c>
      <c r="B250" s="116"/>
      <c r="C250" s="116"/>
      <c r="D250" s="176" t="e">
        <f t="shared" si="3"/>
        <v>#DIV/0!</v>
      </c>
      <c r="E250" s="116"/>
    </row>
    <row r="251" spans="1:5" ht="19.5" customHeight="1">
      <c r="A251" s="178" t="s">
        <v>40</v>
      </c>
      <c r="B251" s="116"/>
      <c r="C251" s="116"/>
      <c r="D251" s="176" t="e">
        <f t="shared" si="3"/>
        <v>#DIV/0!</v>
      </c>
      <c r="E251" s="116"/>
    </row>
    <row r="252" spans="1:5" ht="19.5" customHeight="1">
      <c r="A252" s="177" t="s">
        <v>41</v>
      </c>
      <c r="B252" s="116"/>
      <c r="C252" s="116"/>
      <c r="D252" s="176" t="e">
        <f t="shared" si="3"/>
        <v>#DIV/0!</v>
      </c>
      <c r="E252" s="116"/>
    </row>
    <row r="253" spans="1:5" ht="19.5" customHeight="1">
      <c r="A253" s="177" t="s">
        <v>48</v>
      </c>
      <c r="B253" s="116"/>
      <c r="C253" s="116"/>
      <c r="D253" s="176" t="e">
        <f t="shared" si="3"/>
        <v>#DIV/0!</v>
      </c>
      <c r="E253" s="116"/>
    </row>
    <row r="254" spans="1:5" ht="19.5" customHeight="1">
      <c r="A254" s="177" t="s">
        <v>177</v>
      </c>
      <c r="B254" s="116"/>
      <c r="C254" s="116"/>
      <c r="D254" s="176" t="e">
        <f t="shared" si="3"/>
        <v>#DIV/0!</v>
      </c>
      <c r="E254" s="116"/>
    </row>
    <row r="255" spans="1:5" ht="19.5" customHeight="1">
      <c r="A255" s="178" t="s">
        <v>178</v>
      </c>
      <c r="B255" s="116">
        <f>SUM(B256:B257)</f>
        <v>19</v>
      </c>
      <c r="C255" s="114">
        <f>SUM(C256:C257)</f>
        <v>0</v>
      </c>
      <c r="D255" s="176">
        <f t="shared" si="3"/>
        <v>0</v>
      </c>
      <c r="E255" s="116"/>
    </row>
    <row r="256" spans="1:5" ht="19.5" customHeight="1">
      <c r="A256" s="178" t="s">
        <v>179</v>
      </c>
      <c r="B256" s="116"/>
      <c r="C256" s="116"/>
      <c r="D256" s="176" t="e">
        <f t="shared" si="3"/>
        <v>#DIV/0!</v>
      </c>
      <c r="E256" s="116"/>
    </row>
    <row r="257" spans="1:5" ht="19.5" customHeight="1">
      <c r="A257" s="178" t="s">
        <v>180</v>
      </c>
      <c r="B257" s="116">
        <v>19</v>
      </c>
      <c r="C257" s="116"/>
      <c r="D257" s="176">
        <f t="shared" si="3"/>
        <v>0</v>
      </c>
      <c r="E257" s="116"/>
    </row>
    <row r="258" spans="1:5" ht="19.5" customHeight="1">
      <c r="A258" s="116" t="s">
        <v>181</v>
      </c>
      <c r="B258" s="116"/>
      <c r="C258" s="114">
        <f>SUM(C259:C260)</f>
        <v>0</v>
      </c>
      <c r="D258" s="176" t="e">
        <f t="shared" si="3"/>
        <v>#DIV/0!</v>
      </c>
      <c r="E258" s="116"/>
    </row>
    <row r="259" spans="1:5" ht="19.5" customHeight="1">
      <c r="A259" s="177" t="s">
        <v>182</v>
      </c>
      <c r="B259" s="116"/>
      <c r="C259" s="116"/>
      <c r="D259" s="176" t="e">
        <f t="shared" si="3"/>
        <v>#DIV/0!</v>
      </c>
      <c r="E259" s="116"/>
    </row>
    <row r="260" spans="1:5" ht="19.5" customHeight="1">
      <c r="A260" s="177" t="s">
        <v>183</v>
      </c>
      <c r="B260" s="116"/>
      <c r="C260" s="116"/>
      <c r="D260" s="176" t="e">
        <f t="shared" si="3"/>
        <v>#DIV/0!</v>
      </c>
      <c r="E260" s="116"/>
    </row>
    <row r="261" spans="1:5" ht="19.5" customHeight="1">
      <c r="A261" s="116" t="s">
        <v>184</v>
      </c>
      <c r="B261" s="116"/>
      <c r="C261" s="114">
        <f>C262+C271</f>
        <v>0</v>
      </c>
      <c r="D261" s="176" t="e">
        <f aca="true" t="shared" si="4" ref="D261:D324">C261/B261*100</f>
        <v>#DIV/0!</v>
      </c>
      <c r="E261" s="116"/>
    </row>
    <row r="262" spans="1:5" ht="19.5" customHeight="1">
      <c r="A262" s="178" t="s">
        <v>185</v>
      </c>
      <c r="B262" s="116"/>
      <c r="C262" s="114">
        <f>SUM(C263:C270)</f>
        <v>0</v>
      </c>
      <c r="D262" s="176" t="e">
        <f t="shared" si="4"/>
        <v>#DIV/0!</v>
      </c>
      <c r="E262" s="116"/>
    </row>
    <row r="263" spans="1:5" ht="19.5" customHeight="1">
      <c r="A263" s="178" t="s">
        <v>186</v>
      </c>
      <c r="B263" s="116"/>
      <c r="C263" s="116"/>
      <c r="D263" s="176" t="e">
        <f t="shared" si="4"/>
        <v>#DIV/0!</v>
      </c>
      <c r="E263" s="116"/>
    </row>
    <row r="264" spans="1:5" ht="19.5" customHeight="1">
      <c r="A264" s="177" t="s">
        <v>187</v>
      </c>
      <c r="B264" s="116"/>
      <c r="C264" s="116"/>
      <c r="D264" s="176" t="e">
        <f t="shared" si="4"/>
        <v>#DIV/0!</v>
      </c>
      <c r="E264" s="116"/>
    </row>
    <row r="265" spans="1:5" ht="19.5" customHeight="1">
      <c r="A265" s="177" t="s">
        <v>188</v>
      </c>
      <c r="B265" s="116"/>
      <c r="C265" s="116"/>
      <c r="D265" s="176" t="e">
        <f t="shared" si="4"/>
        <v>#DIV/0!</v>
      </c>
      <c r="E265" s="116"/>
    </row>
    <row r="266" spans="1:5" ht="19.5" customHeight="1">
      <c r="A266" s="177" t="s">
        <v>189</v>
      </c>
      <c r="B266" s="116"/>
      <c r="C266" s="116"/>
      <c r="D266" s="176" t="e">
        <f t="shared" si="4"/>
        <v>#DIV/0!</v>
      </c>
      <c r="E266" s="116"/>
    </row>
    <row r="267" spans="1:5" ht="19.5" customHeight="1">
      <c r="A267" s="178" t="s">
        <v>190</v>
      </c>
      <c r="B267" s="116"/>
      <c r="C267" s="116"/>
      <c r="D267" s="176" t="e">
        <f t="shared" si="4"/>
        <v>#DIV/0!</v>
      </c>
      <c r="E267" s="116"/>
    </row>
    <row r="268" spans="1:5" ht="19.5" customHeight="1">
      <c r="A268" s="178" t="s">
        <v>191</v>
      </c>
      <c r="B268" s="116"/>
      <c r="C268" s="116"/>
      <c r="D268" s="176" t="e">
        <f t="shared" si="4"/>
        <v>#DIV/0!</v>
      </c>
      <c r="E268" s="116"/>
    </row>
    <row r="269" spans="1:5" ht="19.5" customHeight="1">
      <c r="A269" s="178" t="s">
        <v>192</v>
      </c>
      <c r="B269" s="116"/>
      <c r="C269" s="116"/>
      <c r="D269" s="176" t="e">
        <f t="shared" si="4"/>
        <v>#DIV/0!</v>
      </c>
      <c r="E269" s="116"/>
    </row>
    <row r="270" spans="1:5" ht="19.5" customHeight="1">
      <c r="A270" s="178" t="s">
        <v>193</v>
      </c>
      <c r="B270" s="116"/>
      <c r="C270" s="116"/>
      <c r="D270" s="176" t="e">
        <f t="shared" si="4"/>
        <v>#DIV/0!</v>
      </c>
      <c r="E270" s="116"/>
    </row>
    <row r="271" spans="1:5" ht="19.5" customHeight="1">
      <c r="A271" s="178" t="s">
        <v>194</v>
      </c>
      <c r="B271" s="116"/>
      <c r="C271" s="116"/>
      <c r="D271" s="176" t="e">
        <f t="shared" si="4"/>
        <v>#DIV/0!</v>
      </c>
      <c r="E271" s="116"/>
    </row>
    <row r="272" spans="1:5" ht="19.5" customHeight="1">
      <c r="A272" s="116" t="s">
        <v>195</v>
      </c>
      <c r="B272" s="116">
        <f>SUM(B273,B283,B305,B312,B324,B333,B347,B356,B365,B373,B381,B390)</f>
        <v>4650</v>
      </c>
      <c r="C272" s="114">
        <f>C273+C283+C305+C312+C324+C333+C347+C356+C365+C373+C381+C390</f>
        <v>4454</v>
      </c>
      <c r="D272" s="176">
        <f t="shared" si="4"/>
        <v>95.78494623655914</v>
      </c>
      <c r="E272" s="116"/>
    </row>
    <row r="273" spans="1:5" ht="19.5" customHeight="1">
      <c r="A273" s="177" t="s">
        <v>196</v>
      </c>
      <c r="B273" s="116">
        <f>SUM(B274:B282)</f>
        <v>314</v>
      </c>
      <c r="C273" s="114">
        <f>SUM(C274:C282)</f>
        <v>184</v>
      </c>
      <c r="D273" s="176">
        <f t="shared" si="4"/>
        <v>58.59872611464968</v>
      </c>
      <c r="E273" s="116"/>
    </row>
    <row r="274" spans="1:5" ht="19.5" customHeight="1">
      <c r="A274" s="177" t="s">
        <v>197</v>
      </c>
      <c r="B274" s="116">
        <v>33</v>
      </c>
      <c r="C274" s="116">
        <f>55</f>
        <v>55</v>
      </c>
      <c r="D274" s="176">
        <f t="shared" si="4"/>
        <v>166.66666666666669</v>
      </c>
      <c r="E274" s="116"/>
    </row>
    <row r="275" spans="1:5" ht="19.5" customHeight="1">
      <c r="A275" s="177" t="s">
        <v>198</v>
      </c>
      <c r="B275" s="116"/>
      <c r="C275" s="116"/>
      <c r="D275" s="176" t="e">
        <f t="shared" si="4"/>
        <v>#DIV/0!</v>
      </c>
      <c r="E275" s="116"/>
    </row>
    <row r="276" spans="1:5" ht="19.5" customHeight="1">
      <c r="A276" s="178" t="s">
        <v>199</v>
      </c>
      <c r="B276" s="116">
        <v>281</v>
      </c>
      <c r="C276" s="116">
        <f>129</f>
        <v>129</v>
      </c>
      <c r="D276" s="176">
        <f t="shared" si="4"/>
        <v>45.90747330960854</v>
      </c>
      <c r="E276" s="116"/>
    </row>
    <row r="277" spans="1:5" ht="19.5" customHeight="1">
      <c r="A277" s="178" t="s">
        <v>200</v>
      </c>
      <c r="B277" s="116"/>
      <c r="C277" s="116"/>
      <c r="D277" s="176" t="e">
        <f t="shared" si="4"/>
        <v>#DIV/0!</v>
      </c>
      <c r="E277" s="116"/>
    </row>
    <row r="278" spans="1:5" ht="19.5" customHeight="1">
      <c r="A278" s="178" t="s">
        <v>201</v>
      </c>
      <c r="B278" s="116"/>
      <c r="C278" s="116"/>
      <c r="D278" s="176" t="e">
        <f t="shared" si="4"/>
        <v>#DIV/0!</v>
      </c>
      <c r="E278" s="116"/>
    </row>
    <row r="279" spans="1:5" ht="19.5" customHeight="1">
      <c r="A279" s="177" t="s">
        <v>202</v>
      </c>
      <c r="B279" s="116"/>
      <c r="C279" s="116"/>
      <c r="D279" s="176" t="e">
        <f t="shared" si="4"/>
        <v>#DIV/0!</v>
      </c>
      <c r="E279" s="116"/>
    </row>
    <row r="280" spans="1:5" ht="19.5" customHeight="1">
      <c r="A280" s="177" t="s">
        <v>203</v>
      </c>
      <c r="B280" s="116"/>
      <c r="C280" s="116"/>
      <c r="D280" s="176" t="e">
        <f t="shared" si="4"/>
        <v>#DIV/0!</v>
      </c>
      <c r="E280" s="116"/>
    </row>
    <row r="281" spans="1:5" ht="19.5" customHeight="1">
      <c r="A281" s="177" t="s">
        <v>204</v>
      </c>
      <c r="B281" s="116"/>
      <c r="C281" s="116"/>
      <c r="D281" s="176" t="e">
        <f t="shared" si="4"/>
        <v>#DIV/0!</v>
      </c>
      <c r="E281" s="116"/>
    </row>
    <row r="282" spans="1:5" ht="19.5" customHeight="1">
      <c r="A282" s="178" t="s">
        <v>205</v>
      </c>
      <c r="B282" s="116"/>
      <c r="C282" s="116"/>
      <c r="D282" s="176" t="e">
        <f t="shared" si="4"/>
        <v>#DIV/0!</v>
      </c>
      <c r="E282" s="116"/>
    </row>
    <row r="283" spans="1:5" ht="19.5" customHeight="1">
      <c r="A283" s="178" t="s">
        <v>206</v>
      </c>
      <c r="B283" s="116">
        <f>SUM(B284:B304)</f>
        <v>2678</v>
      </c>
      <c r="C283" s="114">
        <f>SUM(C284:C304)</f>
        <v>2761</v>
      </c>
      <c r="D283" s="176">
        <f t="shared" si="4"/>
        <v>103.0993278566094</v>
      </c>
      <c r="E283" s="116"/>
    </row>
    <row r="284" spans="1:5" ht="19.5" customHeight="1">
      <c r="A284" s="178" t="s">
        <v>39</v>
      </c>
      <c r="B284" s="116">
        <v>1483</v>
      </c>
      <c r="C284" s="116">
        <f>1452</f>
        <v>1452</v>
      </c>
      <c r="D284" s="176">
        <f t="shared" si="4"/>
        <v>97.90964261631827</v>
      </c>
      <c r="E284" s="116"/>
    </row>
    <row r="285" spans="1:5" ht="19.5" customHeight="1">
      <c r="A285" s="116" t="s">
        <v>40</v>
      </c>
      <c r="B285" s="116">
        <v>784</v>
      </c>
      <c r="C285" s="116">
        <f>579</f>
        <v>579</v>
      </c>
      <c r="D285" s="176">
        <f t="shared" si="4"/>
        <v>73.85204081632652</v>
      </c>
      <c r="E285" s="116"/>
    </row>
    <row r="286" spans="1:5" ht="19.5" customHeight="1">
      <c r="A286" s="177" t="s">
        <v>41</v>
      </c>
      <c r="B286" s="116"/>
      <c r="C286" s="116"/>
      <c r="D286" s="176" t="e">
        <f t="shared" si="4"/>
        <v>#DIV/0!</v>
      </c>
      <c r="E286" s="116"/>
    </row>
    <row r="287" spans="1:5" ht="19.5" customHeight="1">
      <c r="A287" s="177" t="s">
        <v>207</v>
      </c>
      <c r="B287" s="116">
        <v>13</v>
      </c>
      <c r="C287" s="116"/>
      <c r="D287" s="176">
        <f t="shared" si="4"/>
        <v>0</v>
      </c>
      <c r="E287" s="116"/>
    </row>
    <row r="288" spans="1:5" ht="19.5" customHeight="1">
      <c r="A288" s="177" t="s">
        <v>208</v>
      </c>
      <c r="B288" s="116"/>
      <c r="C288" s="116"/>
      <c r="D288" s="176" t="e">
        <f t="shared" si="4"/>
        <v>#DIV/0!</v>
      </c>
      <c r="E288" s="116"/>
    </row>
    <row r="289" spans="1:5" ht="19.5" customHeight="1">
      <c r="A289" s="178" t="s">
        <v>209</v>
      </c>
      <c r="B289" s="116"/>
      <c r="C289" s="116"/>
      <c r="D289" s="176" t="e">
        <f t="shared" si="4"/>
        <v>#DIV/0!</v>
      </c>
      <c r="E289" s="116"/>
    </row>
    <row r="290" spans="1:5" ht="19.5" customHeight="1">
      <c r="A290" s="178" t="s">
        <v>210</v>
      </c>
      <c r="B290" s="116"/>
      <c r="C290" s="116"/>
      <c r="D290" s="176" t="e">
        <f t="shared" si="4"/>
        <v>#DIV/0!</v>
      </c>
      <c r="E290" s="116"/>
    </row>
    <row r="291" spans="1:5" ht="19.5" customHeight="1">
      <c r="A291" s="178" t="s">
        <v>211</v>
      </c>
      <c r="B291" s="116"/>
      <c r="C291" s="116"/>
      <c r="D291" s="176" t="e">
        <f t="shared" si="4"/>
        <v>#DIV/0!</v>
      </c>
      <c r="E291" s="116"/>
    </row>
    <row r="292" spans="1:5" ht="19.5" customHeight="1">
      <c r="A292" s="177" t="s">
        <v>212</v>
      </c>
      <c r="B292" s="116"/>
      <c r="C292" s="116"/>
      <c r="D292" s="176" t="e">
        <f t="shared" si="4"/>
        <v>#DIV/0!</v>
      </c>
      <c r="E292" s="116"/>
    </row>
    <row r="293" spans="1:5" ht="19.5" customHeight="1">
      <c r="A293" s="177" t="s">
        <v>213</v>
      </c>
      <c r="B293" s="116"/>
      <c r="C293" s="116"/>
      <c r="D293" s="176" t="e">
        <f t="shared" si="4"/>
        <v>#DIV/0!</v>
      </c>
      <c r="E293" s="116"/>
    </row>
    <row r="294" spans="1:5" ht="19.5" customHeight="1">
      <c r="A294" s="177" t="s">
        <v>214</v>
      </c>
      <c r="B294" s="116"/>
      <c r="C294" s="116"/>
      <c r="D294" s="176" t="e">
        <f t="shared" si="4"/>
        <v>#DIV/0!</v>
      </c>
      <c r="E294" s="116"/>
    </row>
    <row r="295" spans="1:5" ht="19.5" customHeight="1">
      <c r="A295" s="178" t="s">
        <v>215</v>
      </c>
      <c r="B295" s="116">
        <v>350</v>
      </c>
      <c r="C295" s="116">
        <f>489+192</f>
        <v>681</v>
      </c>
      <c r="D295" s="176">
        <f t="shared" si="4"/>
        <v>194.57142857142858</v>
      </c>
      <c r="E295" s="116"/>
    </row>
    <row r="296" spans="1:5" ht="19.5" customHeight="1">
      <c r="A296" s="178" t="s">
        <v>216</v>
      </c>
      <c r="B296" s="116"/>
      <c r="C296" s="116"/>
      <c r="D296" s="176" t="e">
        <f t="shared" si="4"/>
        <v>#DIV/0!</v>
      </c>
      <c r="E296" s="116"/>
    </row>
    <row r="297" spans="1:5" ht="19.5" customHeight="1">
      <c r="A297" s="178" t="s">
        <v>217</v>
      </c>
      <c r="B297" s="116"/>
      <c r="C297" s="116"/>
      <c r="D297" s="176" t="e">
        <f t="shared" si="4"/>
        <v>#DIV/0!</v>
      </c>
      <c r="E297" s="116"/>
    </row>
    <row r="298" spans="1:5" ht="19.5" customHeight="1">
      <c r="A298" s="116" t="s">
        <v>218</v>
      </c>
      <c r="B298" s="116"/>
      <c r="C298" s="116"/>
      <c r="D298" s="176" t="e">
        <f t="shared" si="4"/>
        <v>#DIV/0!</v>
      </c>
      <c r="E298" s="116"/>
    </row>
    <row r="299" spans="1:5" ht="19.5" customHeight="1">
      <c r="A299" s="177" t="s">
        <v>219</v>
      </c>
      <c r="B299" s="116"/>
      <c r="C299" s="116"/>
      <c r="D299" s="176" t="e">
        <f t="shared" si="4"/>
        <v>#DIV/0!</v>
      </c>
      <c r="E299" s="116"/>
    </row>
    <row r="300" spans="1:5" ht="19.5" customHeight="1">
      <c r="A300" s="177" t="s">
        <v>220</v>
      </c>
      <c r="B300" s="116">
        <v>48</v>
      </c>
      <c r="C300" s="116">
        <v>49</v>
      </c>
      <c r="D300" s="176">
        <f t="shared" si="4"/>
        <v>102.08333333333333</v>
      </c>
      <c r="E300" s="116"/>
    </row>
    <row r="301" spans="1:5" ht="19.5" customHeight="1">
      <c r="A301" s="177" t="s">
        <v>221</v>
      </c>
      <c r="B301" s="116"/>
      <c r="C301" s="116"/>
      <c r="D301" s="176" t="e">
        <f t="shared" si="4"/>
        <v>#DIV/0!</v>
      </c>
      <c r="E301" s="116"/>
    </row>
    <row r="302" spans="1:5" ht="19.5" customHeight="1">
      <c r="A302" s="178" t="s">
        <v>82</v>
      </c>
      <c r="B302" s="116"/>
      <c r="C302" s="116"/>
      <c r="D302" s="176" t="e">
        <f t="shared" si="4"/>
        <v>#DIV/0!</v>
      </c>
      <c r="E302" s="116"/>
    </row>
    <row r="303" spans="1:5" ht="19.5" customHeight="1">
      <c r="A303" s="178" t="s">
        <v>48</v>
      </c>
      <c r="B303" s="116"/>
      <c r="C303" s="116"/>
      <c r="D303" s="176" t="e">
        <f t="shared" si="4"/>
        <v>#DIV/0!</v>
      </c>
      <c r="E303" s="116"/>
    </row>
    <row r="304" spans="1:5" ht="19.5" customHeight="1">
      <c r="A304" s="178" t="s">
        <v>222</v>
      </c>
      <c r="B304" s="116"/>
      <c r="C304" s="116"/>
      <c r="D304" s="176" t="e">
        <f t="shared" si="4"/>
        <v>#DIV/0!</v>
      </c>
      <c r="E304" s="116"/>
    </row>
    <row r="305" spans="1:5" ht="19.5" customHeight="1">
      <c r="A305" s="177" t="s">
        <v>223</v>
      </c>
      <c r="B305" s="116"/>
      <c r="C305" s="114">
        <f>SUM(C306:C311)</f>
        <v>0</v>
      </c>
      <c r="D305" s="176" t="e">
        <f t="shared" si="4"/>
        <v>#DIV/0!</v>
      </c>
      <c r="E305" s="116"/>
    </row>
    <row r="306" spans="1:5" ht="19.5" customHeight="1">
      <c r="A306" s="177" t="s">
        <v>39</v>
      </c>
      <c r="B306" s="116"/>
      <c r="C306" s="116"/>
      <c r="D306" s="176" t="e">
        <f t="shared" si="4"/>
        <v>#DIV/0!</v>
      </c>
      <c r="E306" s="116"/>
    </row>
    <row r="307" spans="1:5" ht="19.5" customHeight="1">
      <c r="A307" s="177" t="s">
        <v>40</v>
      </c>
      <c r="B307" s="116"/>
      <c r="C307" s="116"/>
      <c r="D307" s="176" t="e">
        <f t="shared" si="4"/>
        <v>#DIV/0!</v>
      </c>
      <c r="E307" s="116"/>
    </row>
    <row r="308" spans="1:5" ht="19.5" customHeight="1">
      <c r="A308" s="178" t="s">
        <v>41</v>
      </c>
      <c r="B308" s="116"/>
      <c r="C308" s="116"/>
      <c r="D308" s="176" t="e">
        <f t="shared" si="4"/>
        <v>#DIV/0!</v>
      </c>
      <c r="E308" s="116"/>
    </row>
    <row r="309" spans="1:5" ht="19.5" customHeight="1">
      <c r="A309" s="178" t="s">
        <v>224</v>
      </c>
      <c r="B309" s="116"/>
      <c r="C309" s="116"/>
      <c r="D309" s="176" t="e">
        <f t="shared" si="4"/>
        <v>#DIV/0!</v>
      </c>
      <c r="E309" s="116"/>
    </row>
    <row r="310" spans="1:5" ht="19.5" customHeight="1">
      <c r="A310" s="178" t="s">
        <v>48</v>
      </c>
      <c r="B310" s="116"/>
      <c r="C310" s="116"/>
      <c r="D310" s="176" t="e">
        <f t="shared" si="4"/>
        <v>#DIV/0!</v>
      </c>
      <c r="E310" s="116"/>
    </row>
    <row r="311" spans="1:5" ht="19.5" customHeight="1">
      <c r="A311" s="116" t="s">
        <v>225</v>
      </c>
      <c r="B311" s="116"/>
      <c r="C311" s="116"/>
      <c r="D311" s="176" t="e">
        <f t="shared" si="4"/>
        <v>#DIV/0!</v>
      </c>
      <c r="E311" s="116"/>
    </row>
    <row r="312" spans="1:5" ht="19.5" customHeight="1">
      <c r="A312" s="177" t="s">
        <v>226</v>
      </c>
      <c r="B312" s="116">
        <f>SUM(B313:B323)</f>
        <v>589</v>
      </c>
      <c r="C312" s="114">
        <f>SUM(C313:C323)</f>
        <v>503</v>
      </c>
      <c r="D312" s="176">
        <f t="shared" si="4"/>
        <v>85.39898132427844</v>
      </c>
      <c r="E312" s="116"/>
    </row>
    <row r="313" spans="1:5" ht="19.5" customHeight="1">
      <c r="A313" s="177" t="s">
        <v>39</v>
      </c>
      <c r="B313" s="116">
        <v>373</v>
      </c>
      <c r="C313" s="116">
        <v>314</v>
      </c>
      <c r="D313" s="176">
        <f t="shared" si="4"/>
        <v>84.1823056300268</v>
      </c>
      <c r="E313" s="116"/>
    </row>
    <row r="314" spans="1:5" ht="19.5" customHeight="1">
      <c r="A314" s="177" t="s">
        <v>40</v>
      </c>
      <c r="B314" s="116">
        <v>216</v>
      </c>
      <c r="C314" s="116">
        <f>68+121</f>
        <v>189</v>
      </c>
      <c r="D314" s="176">
        <f t="shared" si="4"/>
        <v>87.5</v>
      </c>
      <c r="E314" s="116"/>
    </row>
    <row r="315" spans="1:5" ht="19.5" customHeight="1">
      <c r="A315" s="178" t="s">
        <v>41</v>
      </c>
      <c r="B315" s="116"/>
      <c r="C315" s="116"/>
      <c r="D315" s="176" t="e">
        <f t="shared" si="4"/>
        <v>#DIV/0!</v>
      </c>
      <c r="E315" s="116"/>
    </row>
    <row r="316" spans="1:5" ht="19.5" customHeight="1">
      <c r="A316" s="178" t="s">
        <v>227</v>
      </c>
      <c r="B316" s="116"/>
      <c r="C316" s="116"/>
      <c r="D316" s="176" t="e">
        <f t="shared" si="4"/>
        <v>#DIV/0!</v>
      </c>
      <c r="E316" s="116"/>
    </row>
    <row r="317" spans="1:5" ht="19.5" customHeight="1">
      <c r="A317" s="178" t="s">
        <v>228</v>
      </c>
      <c r="B317" s="116"/>
      <c r="C317" s="116"/>
      <c r="D317" s="176" t="e">
        <f t="shared" si="4"/>
        <v>#DIV/0!</v>
      </c>
      <c r="E317" s="116"/>
    </row>
    <row r="318" spans="1:5" ht="19.5" customHeight="1">
      <c r="A318" s="177" t="s">
        <v>229</v>
      </c>
      <c r="B318" s="116"/>
      <c r="C318" s="116"/>
      <c r="D318" s="176" t="e">
        <f t="shared" si="4"/>
        <v>#DIV/0!</v>
      </c>
      <c r="E318" s="116"/>
    </row>
    <row r="319" spans="1:5" ht="19.5" customHeight="1">
      <c r="A319" s="177" t="s">
        <v>230</v>
      </c>
      <c r="B319" s="116"/>
      <c r="C319" s="116"/>
      <c r="D319" s="176" t="e">
        <f t="shared" si="4"/>
        <v>#DIV/0!</v>
      </c>
      <c r="E319" s="116"/>
    </row>
    <row r="320" spans="1:5" ht="19.5" customHeight="1">
      <c r="A320" s="177" t="s">
        <v>231</v>
      </c>
      <c r="B320" s="116"/>
      <c r="C320" s="116"/>
      <c r="D320" s="176" t="e">
        <f t="shared" si="4"/>
        <v>#DIV/0!</v>
      </c>
      <c r="E320" s="116"/>
    </row>
    <row r="321" spans="1:5" ht="19.5" customHeight="1">
      <c r="A321" s="178" t="s">
        <v>232</v>
      </c>
      <c r="B321" s="116"/>
      <c r="C321" s="116"/>
      <c r="D321" s="176" t="e">
        <f t="shared" si="4"/>
        <v>#DIV/0!</v>
      </c>
      <c r="E321" s="116"/>
    </row>
    <row r="322" spans="1:5" ht="19.5" customHeight="1">
      <c r="A322" s="178" t="s">
        <v>48</v>
      </c>
      <c r="B322" s="116"/>
      <c r="C322" s="116"/>
      <c r="D322" s="176" t="e">
        <f t="shared" si="4"/>
        <v>#DIV/0!</v>
      </c>
      <c r="E322" s="116"/>
    </row>
    <row r="323" spans="1:5" ht="19.5" customHeight="1">
      <c r="A323" s="178" t="s">
        <v>233</v>
      </c>
      <c r="B323" s="116"/>
      <c r="C323" s="116"/>
      <c r="D323" s="176" t="e">
        <f t="shared" si="4"/>
        <v>#DIV/0!</v>
      </c>
      <c r="E323" s="116"/>
    </row>
    <row r="324" spans="1:5" ht="19.5" customHeight="1">
      <c r="A324" s="116" t="s">
        <v>234</v>
      </c>
      <c r="B324" s="116">
        <f>SUM(B325:B332)</f>
        <v>725</v>
      </c>
      <c r="C324" s="114">
        <f>SUM(C325:C332)</f>
        <v>675</v>
      </c>
      <c r="D324" s="176">
        <f t="shared" si="4"/>
        <v>93.10344827586206</v>
      </c>
      <c r="E324" s="116"/>
    </row>
    <row r="325" spans="1:5" ht="19.5" customHeight="1">
      <c r="A325" s="177" t="s">
        <v>39</v>
      </c>
      <c r="B325" s="116">
        <v>448</v>
      </c>
      <c r="C325" s="116">
        <f>358</f>
        <v>358</v>
      </c>
      <c r="D325" s="176">
        <f aca="true" t="shared" si="5" ref="D325:D388">C325/B325*100</f>
        <v>79.91071428571429</v>
      </c>
      <c r="E325" s="116"/>
    </row>
    <row r="326" spans="1:5" ht="19.5" customHeight="1">
      <c r="A326" s="177" t="s">
        <v>40</v>
      </c>
      <c r="B326" s="116">
        <v>272</v>
      </c>
      <c r="C326" s="116">
        <f>5+82+230</f>
        <v>317</v>
      </c>
      <c r="D326" s="176">
        <f t="shared" si="5"/>
        <v>116.54411764705883</v>
      </c>
      <c r="E326" s="116"/>
    </row>
    <row r="327" spans="1:5" ht="19.5" customHeight="1">
      <c r="A327" s="177" t="s">
        <v>41</v>
      </c>
      <c r="B327" s="116"/>
      <c r="C327" s="116"/>
      <c r="D327" s="176" t="e">
        <f t="shared" si="5"/>
        <v>#DIV/0!</v>
      </c>
      <c r="E327" s="116"/>
    </row>
    <row r="328" spans="1:5" ht="19.5" customHeight="1">
      <c r="A328" s="178" t="s">
        <v>235</v>
      </c>
      <c r="B328" s="116"/>
      <c r="C328" s="116"/>
      <c r="D328" s="176" t="e">
        <f t="shared" si="5"/>
        <v>#DIV/0!</v>
      </c>
      <c r="E328" s="116"/>
    </row>
    <row r="329" spans="1:5" ht="19.5" customHeight="1">
      <c r="A329" s="178" t="s">
        <v>236</v>
      </c>
      <c r="B329" s="116"/>
      <c r="C329" s="116"/>
      <c r="D329" s="176" t="e">
        <f t="shared" si="5"/>
        <v>#DIV/0!</v>
      </c>
      <c r="E329" s="116"/>
    </row>
    <row r="330" spans="1:5" ht="19.5" customHeight="1">
      <c r="A330" s="178" t="s">
        <v>237</v>
      </c>
      <c r="B330" s="116"/>
      <c r="C330" s="116"/>
      <c r="D330" s="176" t="e">
        <f t="shared" si="5"/>
        <v>#DIV/0!</v>
      </c>
      <c r="E330" s="116"/>
    </row>
    <row r="331" spans="1:5" ht="19.5" customHeight="1">
      <c r="A331" s="177" t="s">
        <v>48</v>
      </c>
      <c r="B331" s="116"/>
      <c r="C331" s="116"/>
      <c r="D331" s="176" t="e">
        <f t="shared" si="5"/>
        <v>#DIV/0!</v>
      </c>
      <c r="E331" s="116"/>
    </row>
    <row r="332" spans="1:5" ht="19.5" customHeight="1">
      <c r="A332" s="177" t="s">
        <v>238</v>
      </c>
      <c r="B332" s="116">
        <v>5</v>
      </c>
      <c r="C332" s="116"/>
      <c r="D332" s="176">
        <f t="shared" si="5"/>
        <v>0</v>
      </c>
      <c r="E332" s="116"/>
    </row>
    <row r="333" spans="1:5" ht="19.5" customHeight="1">
      <c r="A333" s="177" t="s">
        <v>239</v>
      </c>
      <c r="B333" s="116">
        <f>SUM(B334:B346)</f>
        <v>344</v>
      </c>
      <c r="C333" s="114">
        <f>SUM(C334:C346)</f>
        <v>331</v>
      </c>
      <c r="D333" s="176">
        <f t="shared" si="5"/>
        <v>96.22093023255815</v>
      </c>
      <c r="E333" s="116"/>
    </row>
    <row r="334" spans="1:5" ht="19.5" customHeight="1">
      <c r="A334" s="178" t="s">
        <v>39</v>
      </c>
      <c r="B334" s="116">
        <v>279</v>
      </c>
      <c r="C334" s="116">
        <f>258</f>
        <v>258</v>
      </c>
      <c r="D334" s="176">
        <f t="shared" si="5"/>
        <v>92.47311827956989</v>
      </c>
      <c r="E334" s="116"/>
    </row>
    <row r="335" spans="1:5" ht="19.5" customHeight="1">
      <c r="A335" s="178" t="s">
        <v>40</v>
      </c>
      <c r="B335" s="116">
        <v>58</v>
      </c>
      <c r="C335" s="116">
        <f>5+5+31+32</f>
        <v>73</v>
      </c>
      <c r="D335" s="176">
        <f t="shared" si="5"/>
        <v>125.86206896551724</v>
      </c>
      <c r="E335" s="116"/>
    </row>
    <row r="336" spans="1:5" ht="19.5" customHeight="1">
      <c r="A336" s="178" t="s">
        <v>41</v>
      </c>
      <c r="B336" s="116"/>
      <c r="C336" s="116"/>
      <c r="D336" s="176" t="e">
        <f t="shared" si="5"/>
        <v>#DIV/0!</v>
      </c>
      <c r="E336" s="116"/>
    </row>
    <row r="337" spans="1:5" ht="19.5" customHeight="1">
      <c r="A337" s="116" t="s">
        <v>240</v>
      </c>
      <c r="B337" s="116"/>
      <c r="C337" s="116"/>
      <c r="D337" s="176" t="e">
        <f t="shared" si="5"/>
        <v>#DIV/0!</v>
      </c>
      <c r="E337" s="116"/>
    </row>
    <row r="338" spans="1:5" ht="19.5" customHeight="1">
      <c r="A338" s="177" t="s">
        <v>241</v>
      </c>
      <c r="B338" s="116"/>
      <c r="C338" s="116"/>
      <c r="D338" s="176" t="e">
        <f t="shared" si="5"/>
        <v>#DIV/0!</v>
      </c>
      <c r="E338" s="116"/>
    </row>
    <row r="339" spans="1:5" ht="19.5" customHeight="1">
      <c r="A339" s="177" t="s">
        <v>242</v>
      </c>
      <c r="B339" s="116"/>
      <c r="C339" s="116"/>
      <c r="D339" s="176" t="e">
        <f t="shared" si="5"/>
        <v>#DIV/0!</v>
      </c>
      <c r="E339" s="116"/>
    </row>
    <row r="340" spans="1:5" ht="19.5" customHeight="1">
      <c r="A340" s="177" t="s">
        <v>243</v>
      </c>
      <c r="B340" s="116">
        <v>7</v>
      </c>
      <c r="C340" s="116"/>
      <c r="D340" s="176">
        <f t="shared" si="5"/>
        <v>0</v>
      </c>
      <c r="E340" s="116"/>
    </row>
    <row r="341" spans="1:5" ht="19.5" customHeight="1">
      <c r="A341" s="178" t="s">
        <v>244</v>
      </c>
      <c r="B341" s="116"/>
      <c r="C341" s="116"/>
      <c r="D341" s="176" t="e">
        <f t="shared" si="5"/>
        <v>#DIV/0!</v>
      </c>
      <c r="E341" s="116"/>
    </row>
    <row r="342" spans="1:5" ht="19.5" customHeight="1">
      <c r="A342" s="178" t="s">
        <v>245</v>
      </c>
      <c r="B342" s="116"/>
      <c r="C342" s="116"/>
      <c r="D342" s="176" t="e">
        <f t="shared" si="5"/>
        <v>#DIV/0!</v>
      </c>
      <c r="E342" s="116"/>
    </row>
    <row r="343" spans="1:5" ht="19.5" customHeight="1">
      <c r="A343" s="178" t="s">
        <v>246</v>
      </c>
      <c r="B343" s="116"/>
      <c r="C343" s="116"/>
      <c r="D343" s="176" t="e">
        <f t="shared" si="5"/>
        <v>#DIV/0!</v>
      </c>
      <c r="E343" s="116"/>
    </row>
    <row r="344" spans="1:5" ht="19.5" customHeight="1">
      <c r="A344" s="178" t="s">
        <v>247</v>
      </c>
      <c r="B344" s="116"/>
      <c r="C344" s="116"/>
      <c r="D344" s="176" t="e">
        <f t="shared" si="5"/>
        <v>#DIV/0!</v>
      </c>
      <c r="E344" s="116"/>
    </row>
    <row r="345" spans="1:5" ht="19.5" customHeight="1">
      <c r="A345" s="178" t="s">
        <v>48</v>
      </c>
      <c r="B345" s="116"/>
      <c r="C345" s="116"/>
      <c r="D345" s="176" t="e">
        <f t="shared" si="5"/>
        <v>#DIV/0!</v>
      </c>
      <c r="E345" s="116"/>
    </row>
    <row r="346" spans="1:5" ht="19.5" customHeight="1">
      <c r="A346" s="177" t="s">
        <v>248</v>
      </c>
      <c r="B346" s="116"/>
      <c r="C346" s="116"/>
      <c r="D346" s="176" t="e">
        <f t="shared" si="5"/>
        <v>#DIV/0!</v>
      </c>
      <c r="E346" s="116"/>
    </row>
    <row r="347" spans="1:5" ht="19.5" customHeight="1">
      <c r="A347" s="177" t="s">
        <v>249</v>
      </c>
      <c r="B347" s="116">
        <f>SUM(B348:B355)</f>
        <v>0</v>
      </c>
      <c r="C347" s="114">
        <f>SUM(C348:C355)</f>
        <v>0</v>
      </c>
      <c r="D347" s="176" t="e">
        <f t="shared" si="5"/>
        <v>#DIV/0!</v>
      </c>
      <c r="E347" s="116"/>
    </row>
    <row r="348" spans="1:5" ht="19.5" customHeight="1">
      <c r="A348" s="177" t="s">
        <v>39</v>
      </c>
      <c r="B348" s="116"/>
      <c r="C348" s="116"/>
      <c r="D348" s="176" t="e">
        <f t="shared" si="5"/>
        <v>#DIV/0!</v>
      </c>
      <c r="E348" s="116"/>
    </row>
    <row r="349" spans="1:5" ht="19.5" customHeight="1">
      <c r="A349" s="178" t="s">
        <v>40</v>
      </c>
      <c r="B349" s="116"/>
      <c r="C349" s="116"/>
      <c r="D349" s="176" t="e">
        <f t="shared" si="5"/>
        <v>#DIV/0!</v>
      </c>
      <c r="E349" s="116"/>
    </row>
    <row r="350" spans="1:5" ht="19.5" customHeight="1">
      <c r="A350" s="178" t="s">
        <v>41</v>
      </c>
      <c r="B350" s="116"/>
      <c r="C350" s="116"/>
      <c r="D350" s="176" t="e">
        <f t="shared" si="5"/>
        <v>#DIV/0!</v>
      </c>
      <c r="E350" s="116"/>
    </row>
    <row r="351" spans="1:5" ht="19.5" customHeight="1">
      <c r="A351" s="178" t="s">
        <v>250</v>
      </c>
      <c r="B351" s="116"/>
      <c r="C351" s="116"/>
      <c r="D351" s="176" t="e">
        <f t="shared" si="5"/>
        <v>#DIV/0!</v>
      </c>
      <c r="E351" s="116"/>
    </row>
    <row r="352" spans="1:5" ht="19.5" customHeight="1">
      <c r="A352" s="116" t="s">
        <v>251</v>
      </c>
      <c r="B352" s="116"/>
      <c r="C352" s="116"/>
      <c r="D352" s="176" t="e">
        <f t="shared" si="5"/>
        <v>#DIV/0!</v>
      </c>
      <c r="E352" s="116"/>
    </row>
    <row r="353" spans="1:5" ht="19.5" customHeight="1">
      <c r="A353" s="177" t="s">
        <v>252</v>
      </c>
      <c r="B353" s="116"/>
      <c r="C353" s="116"/>
      <c r="D353" s="176" t="e">
        <f t="shared" si="5"/>
        <v>#DIV/0!</v>
      </c>
      <c r="E353" s="116"/>
    </row>
    <row r="354" spans="1:5" ht="19.5" customHeight="1">
      <c r="A354" s="177" t="s">
        <v>48</v>
      </c>
      <c r="B354" s="116"/>
      <c r="C354" s="116"/>
      <c r="D354" s="176" t="e">
        <f t="shared" si="5"/>
        <v>#DIV/0!</v>
      </c>
      <c r="E354" s="116"/>
    </row>
    <row r="355" spans="1:5" ht="19.5" customHeight="1">
      <c r="A355" s="177" t="s">
        <v>253</v>
      </c>
      <c r="B355" s="116"/>
      <c r="C355" s="116"/>
      <c r="D355" s="176" t="e">
        <f t="shared" si="5"/>
        <v>#DIV/0!</v>
      </c>
      <c r="E355" s="116"/>
    </row>
    <row r="356" spans="1:5" ht="19.5" customHeight="1">
      <c r="A356" s="178" t="s">
        <v>254</v>
      </c>
      <c r="B356" s="116"/>
      <c r="C356" s="114">
        <f>SUM(C357:C364)</f>
        <v>0</v>
      </c>
      <c r="D356" s="176" t="e">
        <f t="shared" si="5"/>
        <v>#DIV/0!</v>
      </c>
      <c r="E356" s="116"/>
    </row>
    <row r="357" spans="1:5" ht="19.5" customHeight="1">
      <c r="A357" s="178" t="s">
        <v>39</v>
      </c>
      <c r="B357" s="116"/>
      <c r="C357" s="116"/>
      <c r="D357" s="176" t="e">
        <f t="shared" si="5"/>
        <v>#DIV/0!</v>
      </c>
      <c r="E357" s="116"/>
    </row>
    <row r="358" spans="1:5" ht="19.5" customHeight="1">
      <c r="A358" s="178" t="s">
        <v>40</v>
      </c>
      <c r="B358" s="116"/>
      <c r="C358" s="116"/>
      <c r="D358" s="176" t="e">
        <f t="shared" si="5"/>
        <v>#DIV/0!</v>
      </c>
      <c r="E358" s="116"/>
    </row>
    <row r="359" spans="1:5" ht="19.5" customHeight="1">
      <c r="A359" s="177" t="s">
        <v>41</v>
      </c>
      <c r="B359" s="116"/>
      <c r="C359" s="116"/>
      <c r="D359" s="176" t="e">
        <f t="shared" si="5"/>
        <v>#DIV/0!</v>
      </c>
      <c r="E359" s="116"/>
    </row>
    <row r="360" spans="1:5" ht="19.5" customHeight="1">
      <c r="A360" s="177" t="s">
        <v>255</v>
      </c>
      <c r="B360" s="116"/>
      <c r="C360" s="116"/>
      <c r="D360" s="176" t="e">
        <f t="shared" si="5"/>
        <v>#DIV/0!</v>
      </c>
      <c r="E360" s="116"/>
    </row>
    <row r="361" spans="1:5" ht="19.5" customHeight="1">
      <c r="A361" s="177" t="s">
        <v>256</v>
      </c>
      <c r="B361" s="116"/>
      <c r="C361" s="116"/>
      <c r="D361" s="176" t="e">
        <f t="shared" si="5"/>
        <v>#DIV/0!</v>
      </c>
      <c r="E361" s="116"/>
    </row>
    <row r="362" spans="1:5" ht="19.5" customHeight="1">
      <c r="A362" s="178" t="s">
        <v>257</v>
      </c>
      <c r="B362" s="116"/>
      <c r="C362" s="116"/>
      <c r="D362" s="176" t="e">
        <f t="shared" si="5"/>
        <v>#DIV/0!</v>
      </c>
      <c r="E362" s="116"/>
    </row>
    <row r="363" spans="1:5" ht="19.5" customHeight="1">
      <c r="A363" s="178" t="s">
        <v>48</v>
      </c>
      <c r="B363" s="116"/>
      <c r="C363" s="116"/>
      <c r="D363" s="176" t="e">
        <f t="shared" si="5"/>
        <v>#DIV/0!</v>
      </c>
      <c r="E363" s="116"/>
    </row>
    <row r="364" spans="1:5" ht="19.5" customHeight="1">
      <c r="A364" s="178" t="s">
        <v>258</v>
      </c>
      <c r="B364" s="116"/>
      <c r="C364" s="116"/>
      <c r="D364" s="176" t="e">
        <f t="shared" si="5"/>
        <v>#DIV/0!</v>
      </c>
      <c r="E364" s="116"/>
    </row>
    <row r="365" spans="1:5" ht="19.5" customHeight="1">
      <c r="A365" s="116" t="s">
        <v>259</v>
      </c>
      <c r="B365" s="116"/>
      <c r="C365" s="114">
        <f>SUM(C366:C372)</f>
        <v>0</v>
      </c>
      <c r="D365" s="176" t="e">
        <f t="shared" si="5"/>
        <v>#DIV/0!</v>
      </c>
      <c r="E365" s="116"/>
    </row>
    <row r="366" spans="1:5" ht="19.5" customHeight="1">
      <c r="A366" s="177" t="s">
        <v>39</v>
      </c>
      <c r="B366" s="116"/>
      <c r="C366" s="116"/>
      <c r="D366" s="176" t="e">
        <f t="shared" si="5"/>
        <v>#DIV/0!</v>
      </c>
      <c r="E366" s="116"/>
    </row>
    <row r="367" spans="1:5" ht="19.5" customHeight="1">
      <c r="A367" s="177" t="s">
        <v>40</v>
      </c>
      <c r="B367" s="116"/>
      <c r="C367" s="116"/>
      <c r="D367" s="176" t="e">
        <f t="shared" si="5"/>
        <v>#DIV/0!</v>
      </c>
      <c r="E367" s="116"/>
    </row>
    <row r="368" spans="1:5" ht="19.5" customHeight="1">
      <c r="A368" s="177" t="s">
        <v>41</v>
      </c>
      <c r="B368" s="116"/>
      <c r="C368" s="116"/>
      <c r="D368" s="176" t="e">
        <f t="shared" si="5"/>
        <v>#DIV/0!</v>
      </c>
      <c r="E368" s="116"/>
    </row>
    <row r="369" spans="1:5" ht="19.5" customHeight="1">
      <c r="A369" s="178" t="s">
        <v>260</v>
      </c>
      <c r="B369" s="116"/>
      <c r="C369" s="116"/>
      <c r="D369" s="176" t="e">
        <f t="shared" si="5"/>
        <v>#DIV/0!</v>
      </c>
      <c r="E369" s="116"/>
    </row>
    <row r="370" spans="1:5" ht="19.5" customHeight="1">
      <c r="A370" s="178" t="s">
        <v>261</v>
      </c>
      <c r="B370" s="116"/>
      <c r="C370" s="116"/>
      <c r="D370" s="176" t="e">
        <f t="shared" si="5"/>
        <v>#DIV/0!</v>
      </c>
      <c r="E370" s="116"/>
    </row>
    <row r="371" spans="1:5" ht="19.5" customHeight="1">
      <c r="A371" s="178" t="s">
        <v>48</v>
      </c>
      <c r="B371" s="116"/>
      <c r="C371" s="116"/>
      <c r="D371" s="176" t="e">
        <f t="shared" si="5"/>
        <v>#DIV/0!</v>
      </c>
      <c r="E371" s="116"/>
    </row>
    <row r="372" spans="1:5" ht="19.5" customHeight="1">
      <c r="A372" s="177" t="s">
        <v>262</v>
      </c>
      <c r="B372" s="116"/>
      <c r="C372" s="116"/>
      <c r="D372" s="176" t="e">
        <f t="shared" si="5"/>
        <v>#DIV/0!</v>
      </c>
      <c r="E372" s="116"/>
    </row>
    <row r="373" spans="1:5" ht="19.5" customHeight="1">
      <c r="A373" s="177" t="s">
        <v>263</v>
      </c>
      <c r="B373" s="116"/>
      <c r="C373" s="114">
        <f>SUM(C374:C380)</f>
        <v>0</v>
      </c>
      <c r="D373" s="176" t="e">
        <f t="shared" si="5"/>
        <v>#DIV/0!</v>
      </c>
      <c r="E373" s="116"/>
    </row>
    <row r="374" spans="1:5" ht="19.5" customHeight="1">
      <c r="A374" s="177" t="s">
        <v>39</v>
      </c>
      <c r="B374" s="116"/>
      <c r="C374" s="116"/>
      <c r="D374" s="176" t="e">
        <f t="shared" si="5"/>
        <v>#DIV/0!</v>
      </c>
      <c r="E374" s="116"/>
    </row>
    <row r="375" spans="1:5" ht="19.5" customHeight="1">
      <c r="A375" s="178" t="s">
        <v>40</v>
      </c>
      <c r="B375" s="116"/>
      <c r="C375" s="116"/>
      <c r="D375" s="176" t="e">
        <f t="shared" si="5"/>
        <v>#DIV/0!</v>
      </c>
      <c r="E375" s="116"/>
    </row>
    <row r="376" spans="1:5" ht="19.5" customHeight="1">
      <c r="A376" s="178" t="s">
        <v>264</v>
      </c>
      <c r="B376" s="116"/>
      <c r="C376" s="116"/>
      <c r="D376" s="176" t="e">
        <f t="shared" si="5"/>
        <v>#DIV/0!</v>
      </c>
      <c r="E376" s="116"/>
    </row>
    <row r="377" spans="1:5" ht="19.5" customHeight="1">
      <c r="A377" s="178" t="s">
        <v>265</v>
      </c>
      <c r="B377" s="116"/>
      <c r="C377" s="116"/>
      <c r="D377" s="176" t="e">
        <f t="shared" si="5"/>
        <v>#DIV/0!</v>
      </c>
      <c r="E377" s="116"/>
    </row>
    <row r="378" spans="1:5" ht="19.5" customHeight="1">
      <c r="A378" s="116" t="s">
        <v>266</v>
      </c>
      <c r="B378" s="116"/>
      <c r="C378" s="116"/>
      <c r="D378" s="176" t="e">
        <f t="shared" si="5"/>
        <v>#DIV/0!</v>
      </c>
      <c r="E378" s="116"/>
    </row>
    <row r="379" spans="1:5" ht="19.5" customHeight="1">
      <c r="A379" s="177" t="s">
        <v>219</v>
      </c>
      <c r="B379" s="116"/>
      <c r="C379" s="116"/>
      <c r="D379" s="176" t="e">
        <f t="shared" si="5"/>
        <v>#DIV/0!</v>
      </c>
      <c r="E379" s="116"/>
    </row>
    <row r="380" spans="1:5" ht="19.5" customHeight="1">
      <c r="A380" s="177" t="s">
        <v>267</v>
      </c>
      <c r="B380" s="116"/>
      <c r="C380" s="116"/>
      <c r="D380" s="176" t="e">
        <f t="shared" si="5"/>
        <v>#DIV/0!</v>
      </c>
      <c r="E380" s="116"/>
    </row>
    <row r="381" spans="1:5" ht="19.5" customHeight="1">
      <c r="A381" s="177" t="s">
        <v>268</v>
      </c>
      <c r="B381" s="116"/>
      <c r="C381" s="114">
        <f>SUM(C382:C389)</f>
        <v>0</v>
      </c>
      <c r="D381" s="176" t="e">
        <f t="shared" si="5"/>
        <v>#DIV/0!</v>
      </c>
      <c r="E381" s="116"/>
    </row>
    <row r="382" spans="1:5" ht="19.5" customHeight="1">
      <c r="A382" s="177" t="s">
        <v>269</v>
      </c>
      <c r="B382" s="116"/>
      <c r="C382" s="116"/>
      <c r="D382" s="176" t="e">
        <f t="shared" si="5"/>
        <v>#DIV/0!</v>
      </c>
      <c r="E382" s="116"/>
    </row>
    <row r="383" spans="1:5" ht="19.5" customHeight="1">
      <c r="A383" s="178" t="s">
        <v>39</v>
      </c>
      <c r="B383" s="116"/>
      <c r="C383" s="116"/>
      <c r="D383" s="176" t="e">
        <f t="shared" si="5"/>
        <v>#DIV/0!</v>
      </c>
      <c r="E383" s="116"/>
    </row>
    <row r="384" spans="1:5" ht="19.5" customHeight="1">
      <c r="A384" s="178" t="s">
        <v>270</v>
      </c>
      <c r="B384" s="116"/>
      <c r="C384" s="116"/>
      <c r="D384" s="176" t="e">
        <f t="shared" si="5"/>
        <v>#DIV/0!</v>
      </c>
      <c r="E384" s="116"/>
    </row>
    <row r="385" spans="1:5" ht="19.5" customHeight="1">
      <c r="A385" s="178" t="s">
        <v>271</v>
      </c>
      <c r="B385" s="116"/>
      <c r="C385" s="116"/>
      <c r="D385" s="176" t="e">
        <f t="shared" si="5"/>
        <v>#DIV/0!</v>
      </c>
      <c r="E385" s="116"/>
    </row>
    <row r="386" spans="1:5" ht="19.5" customHeight="1">
      <c r="A386" s="178" t="s">
        <v>272</v>
      </c>
      <c r="B386" s="116"/>
      <c r="C386" s="116"/>
      <c r="D386" s="176" t="e">
        <f t="shared" si="5"/>
        <v>#DIV/0!</v>
      </c>
      <c r="E386" s="116"/>
    </row>
    <row r="387" spans="1:5" ht="19.5" customHeight="1">
      <c r="A387" s="116" t="s">
        <v>273</v>
      </c>
      <c r="B387" s="116"/>
      <c r="C387" s="116"/>
      <c r="D387" s="176" t="e">
        <f t="shared" si="5"/>
        <v>#DIV/0!</v>
      </c>
      <c r="E387" s="116"/>
    </row>
    <row r="388" spans="1:5" ht="19.5" customHeight="1">
      <c r="A388" s="177" t="s">
        <v>274</v>
      </c>
      <c r="B388" s="116"/>
      <c r="C388" s="116"/>
      <c r="D388" s="176" t="e">
        <f t="shared" si="5"/>
        <v>#DIV/0!</v>
      </c>
      <c r="E388" s="116"/>
    </row>
    <row r="389" spans="1:5" ht="19.5" customHeight="1">
      <c r="A389" s="177" t="s">
        <v>275</v>
      </c>
      <c r="B389" s="116"/>
      <c r="C389" s="116"/>
      <c r="D389" s="176" t="e">
        <f aca="true" t="shared" si="6" ref="D389:D452">C389/B389*100</f>
        <v>#DIV/0!</v>
      </c>
      <c r="E389" s="116"/>
    </row>
    <row r="390" spans="1:5" ht="19.5" customHeight="1">
      <c r="A390" s="177" t="s">
        <v>276</v>
      </c>
      <c r="B390" s="116"/>
      <c r="C390" s="116"/>
      <c r="D390" s="176" t="e">
        <f t="shared" si="6"/>
        <v>#DIV/0!</v>
      </c>
      <c r="E390" s="116"/>
    </row>
    <row r="391" spans="1:5" ht="19.5" customHeight="1">
      <c r="A391" s="116" t="s">
        <v>277</v>
      </c>
      <c r="B391" s="116">
        <f>SUM(B392,B397,B406,B413,B419,B423,B427,B431,B437,B444)</f>
        <v>21611</v>
      </c>
      <c r="C391" s="114">
        <f>C392+C397+C406+C413+C419+C423+C427+C431+C444</f>
        <v>20799</v>
      </c>
      <c r="D391" s="176">
        <f t="shared" si="6"/>
        <v>96.24265420387765</v>
      </c>
      <c r="E391" s="116"/>
    </row>
    <row r="392" spans="1:5" ht="19.5" customHeight="1">
      <c r="A392" s="178" t="s">
        <v>278</v>
      </c>
      <c r="B392" s="116">
        <f>SUM(B393:B396)</f>
        <v>715</v>
      </c>
      <c r="C392" s="114">
        <f>SUM(C393:C396)</f>
        <v>653</v>
      </c>
      <c r="D392" s="176">
        <f t="shared" si="6"/>
        <v>91.32867132867133</v>
      </c>
      <c r="E392" s="116"/>
    </row>
    <row r="393" spans="1:5" ht="19.5" customHeight="1">
      <c r="A393" s="177" t="s">
        <v>39</v>
      </c>
      <c r="B393" s="116">
        <v>652</v>
      </c>
      <c r="C393" s="116">
        <v>653</v>
      </c>
      <c r="D393" s="176">
        <f t="shared" si="6"/>
        <v>100.15337423312884</v>
      </c>
      <c r="E393" s="116"/>
    </row>
    <row r="394" spans="1:5" ht="19.5" customHeight="1">
      <c r="A394" s="177" t="s">
        <v>40</v>
      </c>
      <c r="B394" s="116">
        <v>53</v>
      </c>
      <c r="C394" s="116"/>
      <c r="D394" s="176">
        <f t="shared" si="6"/>
        <v>0</v>
      </c>
      <c r="E394" s="116"/>
    </row>
    <row r="395" spans="1:5" ht="19.5" customHeight="1">
      <c r="A395" s="177" t="s">
        <v>41</v>
      </c>
      <c r="B395" s="116"/>
      <c r="C395" s="116"/>
      <c r="D395" s="176" t="e">
        <f t="shared" si="6"/>
        <v>#DIV/0!</v>
      </c>
      <c r="E395" s="116"/>
    </row>
    <row r="396" spans="1:5" ht="19.5" customHeight="1">
      <c r="A396" s="178" t="s">
        <v>279</v>
      </c>
      <c r="B396" s="116">
        <v>10</v>
      </c>
      <c r="C396" s="116"/>
      <c r="D396" s="176">
        <f t="shared" si="6"/>
        <v>0</v>
      </c>
      <c r="E396" s="116"/>
    </row>
    <row r="397" spans="1:5" ht="19.5" customHeight="1">
      <c r="A397" s="177" t="s">
        <v>280</v>
      </c>
      <c r="B397" s="116">
        <f>SUM(B398:B405)</f>
        <v>19818</v>
      </c>
      <c r="C397" s="114">
        <f>SUM(C398:C405)</f>
        <v>19505</v>
      </c>
      <c r="D397" s="176">
        <f t="shared" si="6"/>
        <v>98.42062771218085</v>
      </c>
      <c r="E397" s="116"/>
    </row>
    <row r="398" spans="1:5" ht="19.5" customHeight="1">
      <c r="A398" s="177" t="s">
        <v>281</v>
      </c>
      <c r="B398" s="116">
        <v>845</v>
      </c>
      <c r="C398" s="116">
        <f>15+379+592+163</f>
        <v>1149</v>
      </c>
      <c r="D398" s="176">
        <f t="shared" si="6"/>
        <v>135.97633136094674</v>
      </c>
      <c r="E398" s="116"/>
    </row>
    <row r="399" spans="1:5" ht="19.5" customHeight="1">
      <c r="A399" s="177" t="s">
        <v>282</v>
      </c>
      <c r="B399" s="116">
        <v>5127</v>
      </c>
      <c r="C399" s="116">
        <f>5517+400+341</f>
        <v>6258</v>
      </c>
      <c r="D399" s="176">
        <f t="shared" si="6"/>
        <v>122.05968402574605</v>
      </c>
      <c r="E399" s="116"/>
    </row>
    <row r="400" spans="1:5" ht="19.5" customHeight="1">
      <c r="A400" s="178" t="s">
        <v>283</v>
      </c>
      <c r="B400" s="116">
        <v>3063</v>
      </c>
      <c r="C400" s="116">
        <f>3177+400</f>
        <v>3577</v>
      </c>
      <c r="D400" s="176">
        <f t="shared" si="6"/>
        <v>116.7809337251061</v>
      </c>
      <c r="E400" s="116"/>
    </row>
    <row r="401" spans="1:5" ht="19.5" customHeight="1">
      <c r="A401" s="178" t="s">
        <v>284</v>
      </c>
      <c r="B401" s="116">
        <v>1879</v>
      </c>
      <c r="C401" s="116">
        <f>147+1+1225+25</f>
        <v>1398</v>
      </c>
      <c r="D401" s="176">
        <f t="shared" si="6"/>
        <v>74.40127727514636</v>
      </c>
      <c r="E401" s="116"/>
    </row>
    <row r="402" spans="1:5" ht="19.5" customHeight="1">
      <c r="A402" s="178" t="s">
        <v>285</v>
      </c>
      <c r="B402" s="116"/>
      <c r="C402" s="116"/>
      <c r="D402" s="176" t="e">
        <f t="shared" si="6"/>
        <v>#DIV/0!</v>
      </c>
      <c r="E402" s="116"/>
    </row>
    <row r="403" spans="1:5" ht="19.5" customHeight="1">
      <c r="A403" s="177" t="s">
        <v>286</v>
      </c>
      <c r="B403" s="116"/>
      <c r="C403" s="116"/>
      <c r="D403" s="176" t="e">
        <f t="shared" si="6"/>
        <v>#DIV/0!</v>
      </c>
      <c r="E403" s="116"/>
    </row>
    <row r="404" spans="1:5" ht="19.5" customHeight="1">
      <c r="A404" s="177" t="s">
        <v>287</v>
      </c>
      <c r="B404" s="116"/>
      <c r="C404" s="116"/>
      <c r="D404" s="176" t="e">
        <f t="shared" si="6"/>
        <v>#DIV/0!</v>
      </c>
      <c r="E404" s="116"/>
    </row>
    <row r="405" spans="1:5" ht="19.5" customHeight="1">
      <c r="A405" s="177" t="s">
        <v>288</v>
      </c>
      <c r="B405" s="116">
        <v>8904</v>
      </c>
      <c r="C405" s="116">
        <f>1404+2125+846+243+607+1898</f>
        <v>7123</v>
      </c>
      <c r="D405" s="176">
        <f t="shared" si="6"/>
        <v>79.99775381850853</v>
      </c>
      <c r="E405" s="116"/>
    </row>
    <row r="406" spans="1:5" ht="19.5" customHeight="1">
      <c r="A406" s="177" t="s">
        <v>289</v>
      </c>
      <c r="B406" s="116">
        <f>SUM(B407:B412)</f>
        <v>625</v>
      </c>
      <c r="C406" s="114">
        <f>SUM(C407:C412)</f>
        <v>330</v>
      </c>
      <c r="D406" s="176">
        <f t="shared" si="6"/>
        <v>52.800000000000004</v>
      </c>
      <c r="E406" s="116"/>
    </row>
    <row r="407" spans="1:5" ht="19.5" customHeight="1">
      <c r="A407" s="177" t="s">
        <v>290</v>
      </c>
      <c r="B407" s="116"/>
      <c r="C407" s="116"/>
      <c r="D407" s="176" t="e">
        <f t="shared" si="6"/>
        <v>#DIV/0!</v>
      </c>
      <c r="E407" s="116"/>
    </row>
    <row r="408" spans="1:5" ht="19.5" customHeight="1">
      <c r="A408" s="177" t="s">
        <v>291</v>
      </c>
      <c r="B408" s="116"/>
      <c r="C408" s="116"/>
      <c r="D408" s="176" t="e">
        <f t="shared" si="6"/>
        <v>#DIV/0!</v>
      </c>
      <c r="E408" s="116"/>
    </row>
    <row r="409" spans="1:5" ht="19.5" customHeight="1">
      <c r="A409" s="177" t="s">
        <v>292</v>
      </c>
      <c r="B409" s="116"/>
      <c r="C409" s="116"/>
      <c r="D409" s="176" t="e">
        <f t="shared" si="6"/>
        <v>#DIV/0!</v>
      </c>
      <c r="E409" s="116"/>
    </row>
    <row r="410" spans="1:5" ht="19.5" customHeight="1">
      <c r="A410" s="178" t="s">
        <v>293</v>
      </c>
      <c r="B410" s="116">
        <v>600</v>
      </c>
      <c r="C410" s="116">
        <f>55+259</f>
        <v>314</v>
      </c>
      <c r="D410" s="176">
        <f t="shared" si="6"/>
        <v>52.33333333333333</v>
      </c>
      <c r="E410" s="116"/>
    </row>
    <row r="411" spans="1:5" ht="19.5" customHeight="1">
      <c r="A411" s="178" t="s">
        <v>294</v>
      </c>
      <c r="B411" s="116"/>
      <c r="C411" s="116"/>
      <c r="D411" s="176" t="e">
        <f t="shared" si="6"/>
        <v>#DIV/0!</v>
      </c>
      <c r="E411" s="116"/>
    </row>
    <row r="412" spans="1:5" ht="19.5" customHeight="1">
      <c r="A412" s="178" t="s">
        <v>295</v>
      </c>
      <c r="B412" s="116">
        <v>25</v>
      </c>
      <c r="C412" s="116">
        <v>16</v>
      </c>
      <c r="D412" s="176">
        <f t="shared" si="6"/>
        <v>64</v>
      </c>
      <c r="E412" s="116"/>
    </row>
    <row r="413" spans="1:5" ht="19.5" customHeight="1">
      <c r="A413" s="116" t="s">
        <v>296</v>
      </c>
      <c r="B413" s="116">
        <f>SUM(B414:B418)</f>
        <v>4</v>
      </c>
      <c r="C413" s="114">
        <f>SUM(C414:C418)</f>
        <v>8</v>
      </c>
      <c r="D413" s="176">
        <f t="shared" si="6"/>
        <v>200</v>
      </c>
      <c r="E413" s="116"/>
    </row>
    <row r="414" spans="1:5" ht="19.5" customHeight="1">
      <c r="A414" s="177" t="s">
        <v>297</v>
      </c>
      <c r="B414" s="116"/>
      <c r="C414" s="116"/>
      <c r="D414" s="176" t="e">
        <f t="shared" si="6"/>
        <v>#DIV/0!</v>
      </c>
      <c r="E414" s="116"/>
    </row>
    <row r="415" spans="1:5" ht="19.5" customHeight="1">
      <c r="A415" s="177" t="s">
        <v>298</v>
      </c>
      <c r="B415" s="116"/>
      <c r="C415" s="116"/>
      <c r="D415" s="176" t="e">
        <f t="shared" si="6"/>
        <v>#DIV/0!</v>
      </c>
      <c r="E415" s="116"/>
    </row>
    <row r="416" spans="1:5" ht="19.5" customHeight="1">
      <c r="A416" s="177" t="s">
        <v>299</v>
      </c>
      <c r="B416" s="116"/>
      <c r="C416" s="116"/>
      <c r="D416" s="176" t="e">
        <f t="shared" si="6"/>
        <v>#DIV/0!</v>
      </c>
      <c r="E416" s="116"/>
    </row>
    <row r="417" spans="1:5" ht="19.5" customHeight="1">
      <c r="A417" s="178" t="s">
        <v>300</v>
      </c>
      <c r="B417" s="116"/>
      <c r="C417" s="116"/>
      <c r="D417" s="176" t="e">
        <f t="shared" si="6"/>
        <v>#DIV/0!</v>
      </c>
      <c r="E417" s="116"/>
    </row>
    <row r="418" spans="1:5" ht="19.5" customHeight="1">
      <c r="A418" s="178" t="s">
        <v>301</v>
      </c>
      <c r="B418" s="116">
        <v>4</v>
      </c>
      <c r="C418" s="116">
        <f>3+5</f>
        <v>8</v>
      </c>
      <c r="D418" s="176">
        <f t="shared" si="6"/>
        <v>200</v>
      </c>
      <c r="E418" s="116"/>
    </row>
    <row r="419" spans="1:5" ht="19.5" customHeight="1">
      <c r="A419" s="178" t="s">
        <v>302</v>
      </c>
      <c r="B419" s="116">
        <f>SUM(B420:B422)</f>
        <v>0</v>
      </c>
      <c r="C419" s="114">
        <f>SUM(C420:C422)</f>
        <v>0</v>
      </c>
      <c r="D419" s="176" t="e">
        <f t="shared" si="6"/>
        <v>#DIV/0!</v>
      </c>
      <c r="E419" s="116"/>
    </row>
    <row r="420" spans="1:5" ht="19.5" customHeight="1">
      <c r="A420" s="177" t="s">
        <v>303</v>
      </c>
      <c r="B420" s="116"/>
      <c r="C420" s="116"/>
      <c r="D420" s="176" t="e">
        <f t="shared" si="6"/>
        <v>#DIV/0!</v>
      </c>
      <c r="E420" s="116"/>
    </row>
    <row r="421" spans="1:5" ht="19.5" customHeight="1">
      <c r="A421" s="177" t="s">
        <v>304</v>
      </c>
      <c r="B421" s="116"/>
      <c r="C421" s="116"/>
      <c r="D421" s="176" t="e">
        <f t="shared" si="6"/>
        <v>#DIV/0!</v>
      </c>
      <c r="E421" s="116"/>
    </row>
    <row r="422" spans="1:5" ht="19.5" customHeight="1">
      <c r="A422" s="177" t="s">
        <v>305</v>
      </c>
      <c r="B422" s="116"/>
      <c r="C422" s="116"/>
      <c r="D422" s="176" t="e">
        <f t="shared" si="6"/>
        <v>#DIV/0!</v>
      </c>
      <c r="E422" s="116"/>
    </row>
    <row r="423" spans="1:5" ht="19.5" customHeight="1">
      <c r="A423" s="178" t="s">
        <v>306</v>
      </c>
      <c r="B423" s="116"/>
      <c r="C423" s="114">
        <f>SUM(C424:C426)</f>
        <v>0</v>
      </c>
      <c r="D423" s="176" t="e">
        <f t="shared" si="6"/>
        <v>#DIV/0!</v>
      </c>
      <c r="E423" s="116"/>
    </row>
    <row r="424" spans="1:5" ht="19.5" customHeight="1">
      <c r="A424" s="178" t="s">
        <v>307</v>
      </c>
      <c r="B424" s="116"/>
      <c r="C424" s="116"/>
      <c r="D424" s="176" t="e">
        <f t="shared" si="6"/>
        <v>#DIV/0!</v>
      </c>
      <c r="E424" s="116"/>
    </row>
    <row r="425" spans="1:5" ht="19.5" customHeight="1">
      <c r="A425" s="178" t="s">
        <v>308</v>
      </c>
      <c r="B425" s="116"/>
      <c r="C425" s="116"/>
      <c r="D425" s="176" t="e">
        <f t="shared" si="6"/>
        <v>#DIV/0!</v>
      </c>
      <c r="E425" s="116"/>
    </row>
    <row r="426" spans="1:5" ht="19.5" customHeight="1">
      <c r="A426" s="116" t="s">
        <v>309</v>
      </c>
      <c r="B426" s="116"/>
      <c r="C426" s="116"/>
      <c r="D426" s="176" t="e">
        <f t="shared" si="6"/>
        <v>#DIV/0!</v>
      </c>
      <c r="E426" s="116"/>
    </row>
    <row r="427" spans="1:5" ht="19.5" customHeight="1">
      <c r="A427" s="177" t="s">
        <v>310</v>
      </c>
      <c r="B427" s="116">
        <f>SUM(B428:B430)</f>
        <v>0</v>
      </c>
      <c r="C427" s="114">
        <f>SUM(C428:C430)</f>
        <v>0</v>
      </c>
      <c r="D427" s="176" t="e">
        <f t="shared" si="6"/>
        <v>#DIV/0!</v>
      </c>
      <c r="E427" s="116"/>
    </row>
    <row r="428" spans="1:5" ht="19.5" customHeight="1">
      <c r="A428" s="177" t="s">
        <v>311</v>
      </c>
      <c r="B428" s="116"/>
      <c r="C428" s="116"/>
      <c r="D428" s="176" t="e">
        <f t="shared" si="6"/>
        <v>#DIV/0!</v>
      </c>
      <c r="E428" s="116"/>
    </row>
    <row r="429" spans="1:5" ht="19.5" customHeight="1">
      <c r="A429" s="177" t="s">
        <v>312</v>
      </c>
      <c r="B429" s="116"/>
      <c r="C429" s="116"/>
      <c r="D429" s="176" t="e">
        <f t="shared" si="6"/>
        <v>#DIV/0!</v>
      </c>
      <c r="E429" s="116"/>
    </row>
    <row r="430" spans="1:5" ht="19.5" customHeight="1">
      <c r="A430" s="178" t="s">
        <v>313</v>
      </c>
      <c r="B430" s="116"/>
      <c r="C430" s="116"/>
      <c r="D430" s="176" t="e">
        <f t="shared" si="6"/>
        <v>#DIV/0!</v>
      </c>
      <c r="E430" s="116"/>
    </row>
    <row r="431" spans="1:5" ht="19.5" customHeight="1">
      <c r="A431" s="178" t="s">
        <v>314</v>
      </c>
      <c r="B431" s="116">
        <f>SUM(B432:B436)</f>
        <v>234</v>
      </c>
      <c r="C431" s="114">
        <f>SUM(C432:C436)</f>
        <v>235</v>
      </c>
      <c r="D431" s="176">
        <f t="shared" si="6"/>
        <v>100.42735042735043</v>
      </c>
      <c r="E431" s="116"/>
    </row>
    <row r="432" spans="1:5" ht="19.5" customHeight="1">
      <c r="A432" s="178" t="s">
        <v>315</v>
      </c>
      <c r="B432" s="116">
        <v>66</v>
      </c>
      <c r="C432" s="116">
        <f>53</f>
        <v>53</v>
      </c>
      <c r="D432" s="176">
        <f t="shared" si="6"/>
        <v>80.3030303030303</v>
      </c>
      <c r="E432" s="116"/>
    </row>
    <row r="433" spans="1:5" ht="19.5" customHeight="1">
      <c r="A433" s="177" t="s">
        <v>316</v>
      </c>
      <c r="B433" s="116">
        <v>166</v>
      </c>
      <c r="C433" s="116">
        <f>180</f>
        <v>180</v>
      </c>
      <c r="D433" s="176">
        <f t="shared" si="6"/>
        <v>108.43373493975903</v>
      </c>
      <c r="E433" s="116"/>
    </row>
    <row r="434" spans="1:5" ht="19.5" customHeight="1">
      <c r="A434" s="177" t="s">
        <v>317</v>
      </c>
      <c r="B434" s="116"/>
      <c r="C434" s="116"/>
      <c r="D434" s="176" t="e">
        <f t="shared" si="6"/>
        <v>#DIV/0!</v>
      </c>
      <c r="E434" s="116"/>
    </row>
    <row r="435" spans="1:5" ht="19.5" customHeight="1">
      <c r="A435" s="177" t="s">
        <v>318</v>
      </c>
      <c r="B435" s="116"/>
      <c r="C435" s="116"/>
      <c r="D435" s="176" t="e">
        <f t="shared" si="6"/>
        <v>#DIV/0!</v>
      </c>
      <c r="E435" s="116"/>
    </row>
    <row r="436" spans="1:5" ht="19.5" customHeight="1">
      <c r="A436" s="177" t="s">
        <v>319</v>
      </c>
      <c r="B436" s="116">
        <v>2</v>
      </c>
      <c r="C436" s="116">
        <f>2</f>
        <v>2</v>
      </c>
      <c r="D436" s="176">
        <f t="shared" si="6"/>
        <v>100</v>
      </c>
      <c r="E436" s="116"/>
    </row>
    <row r="437" spans="1:5" ht="19.5" customHeight="1">
      <c r="A437" s="177" t="s">
        <v>320</v>
      </c>
      <c r="B437" s="116">
        <f>SUM(B438:B443)</f>
        <v>0</v>
      </c>
      <c r="C437" s="114">
        <f>SUM(C438:C443)</f>
        <v>0</v>
      </c>
      <c r="D437" s="176" t="e">
        <f t="shared" si="6"/>
        <v>#DIV/0!</v>
      </c>
      <c r="E437" s="116"/>
    </row>
    <row r="438" spans="1:5" ht="19.5" customHeight="1">
      <c r="A438" s="178" t="s">
        <v>321</v>
      </c>
      <c r="B438" s="116"/>
      <c r="C438" s="116"/>
      <c r="D438" s="176" t="e">
        <f t="shared" si="6"/>
        <v>#DIV/0!</v>
      </c>
      <c r="E438" s="116"/>
    </row>
    <row r="439" spans="1:5" ht="19.5" customHeight="1">
      <c r="A439" s="178" t="s">
        <v>322</v>
      </c>
      <c r="B439" s="116"/>
      <c r="C439" s="116"/>
      <c r="D439" s="176" t="e">
        <f t="shared" si="6"/>
        <v>#DIV/0!</v>
      </c>
      <c r="E439" s="116"/>
    </row>
    <row r="440" spans="1:5" ht="19.5" customHeight="1">
      <c r="A440" s="178" t="s">
        <v>323</v>
      </c>
      <c r="B440" s="116"/>
      <c r="C440" s="116"/>
      <c r="D440" s="176" t="e">
        <f t="shared" si="6"/>
        <v>#DIV/0!</v>
      </c>
      <c r="E440" s="116"/>
    </row>
    <row r="441" spans="1:5" ht="19.5" customHeight="1">
      <c r="A441" s="116" t="s">
        <v>324</v>
      </c>
      <c r="B441" s="116"/>
      <c r="C441" s="116"/>
      <c r="D441" s="176" t="e">
        <f t="shared" si="6"/>
        <v>#DIV/0!</v>
      </c>
      <c r="E441" s="116"/>
    </row>
    <row r="442" spans="1:5" ht="19.5" customHeight="1">
      <c r="A442" s="177" t="s">
        <v>325</v>
      </c>
      <c r="B442" s="116"/>
      <c r="C442" s="116"/>
      <c r="D442" s="176" t="e">
        <f t="shared" si="6"/>
        <v>#DIV/0!</v>
      </c>
      <c r="E442" s="116"/>
    </row>
    <row r="443" spans="1:5" ht="19.5" customHeight="1">
      <c r="A443" s="177" t="s">
        <v>326</v>
      </c>
      <c r="B443" s="116"/>
      <c r="C443" s="116"/>
      <c r="D443" s="176" t="e">
        <f t="shared" si="6"/>
        <v>#DIV/0!</v>
      </c>
      <c r="E443" s="116"/>
    </row>
    <row r="444" spans="1:5" ht="19.5" customHeight="1">
      <c r="A444" s="177" t="s">
        <v>327</v>
      </c>
      <c r="B444" s="116">
        <v>215</v>
      </c>
      <c r="C444" s="116">
        <v>68</v>
      </c>
      <c r="D444" s="176">
        <f t="shared" si="6"/>
        <v>31.627906976744185</v>
      </c>
      <c r="E444" s="116"/>
    </row>
    <row r="445" spans="1:5" ht="19.5" customHeight="1">
      <c r="A445" s="116" t="s">
        <v>328</v>
      </c>
      <c r="B445" s="116">
        <f>SUM(B446,B451,B460,B466,B472,B477,B482,B489,B493,B496)</f>
        <v>458</v>
      </c>
      <c r="C445" s="114">
        <f>C446+C451+C460+C466+C472+C477+C482+C489+C493+C496</f>
        <v>135</v>
      </c>
      <c r="D445" s="176">
        <f t="shared" si="6"/>
        <v>29.475982532751093</v>
      </c>
      <c r="E445" s="116"/>
    </row>
    <row r="446" spans="1:5" ht="19.5" customHeight="1">
      <c r="A446" s="178" t="s">
        <v>329</v>
      </c>
      <c r="B446" s="116">
        <f>SUM(B447:B450)</f>
        <v>81</v>
      </c>
      <c r="C446" s="114">
        <f>SUM(C447:C450)</f>
        <v>78</v>
      </c>
      <c r="D446" s="176">
        <f t="shared" si="6"/>
        <v>96.29629629629629</v>
      </c>
      <c r="E446" s="116"/>
    </row>
    <row r="447" spans="1:5" ht="19.5" customHeight="1">
      <c r="A447" s="177" t="s">
        <v>39</v>
      </c>
      <c r="B447" s="116">
        <v>78</v>
      </c>
      <c r="C447" s="116">
        <f>60</f>
        <v>60</v>
      </c>
      <c r="D447" s="176">
        <f t="shared" si="6"/>
        <v>76.92307692307693</v>
      </c>
      <c r="E447" s="116"/>
    </row>
    <row r="448" spans="1:5" ht="19.5" customHeight="1">
      <c r="A448" s="177" t="s">
        <v>40</v>
      </c>
      <c r="B448" s="116"/>
      <c r="C448" s="116"/>
      <c r="D448" s="176" t="e">
        <f t="shared" si="6"/>
        <v>#DIV/0!</v>
      </c>
      <c r="E448" s="116"/>
    </row>
    <row r="449" spans="1:5" ht="19.5" customHeight="1">
      <c r="A449" s="177" t="s">
        <v>41</v>
      </c>
      <c r="B449" s="116"/>
      <c r="C449" s="116"/>
      <c r="D449" s="176" t="e">
        <f t="shared" si="6"/>
        <v>#DIV/0!</v>
      </c>
      <c r="E449" s="116"/>
    </row>
    <row r="450" spans="1:5" ht="19.5" customHeight="1">
      <c r="A450" s="178" t="s">
        <v>330</v>
      </c>
      <c r="B450" s="116">
        <v>3</v>
      </c>
      <c r="C450" s="116">
        <f>18</f>
        <v>18</v>
      </c>
      <c r="D450" s="176">
        <f t="shared" si="6"/>
        <v>600</v>
      </c>
      <c r="E450" s="116"/>
    </row>
    <row r="451" spans="1:5" ht="19.5" customHeight="1">
      <c r="A451" s="177" t="s">
        <v>331</v>
      </c>
      <c r="B451" s="116">
        <f>SUM(B452:B459)</f>
        <v>0</v>
      </c>
      <c r="C451" s="114">
        <f>SUM(C452:C459)</f>
        <v>0</v>
      </c>
      <c r="D451" s="176" t="e">
        <f t="shared" si="6"/>
        <v>#DIV/0!</v>
      </c>
      <c r="E451" s="116"/>
    </row>
    <row r="452" spans="1:5" ht="19.5" customHeight="1">
      <c r="A452" s="177" t="s">
        <v>332</v>
      </c>
      <c r="B452" s="116"/>
      <c r="C452" s="116"/>
      <c r="D452" s="176" t="e">
        <f t="shared" si="6"/>
        <v>#DIV/0!</v>
      </c>
      <c r="E452" s="116"/>
    </row>
    <row r="453" spans="1:5" ht="19.5" customHeight="1">
      <c r="A453" s="177" t="s">
        <v>333</v>
      </c>
      <c r="B453" s="116"/>
      <c r="C453" s="116"/>
      <c r="D453" s="176" t="e">
        <f aca="true" t="shared" si="7" ref="D453:D516">C453/B453*100</f>
        <v>#DIV/0!</v>
      </c>
      <c r="E453" s="116"/>
    </row>
    <row r="454" spans="1:5" ht="19.5" customHeight="1">
      <c r="A454" s="116" t="s">
        <v>334</v>
      </c>
      <c r="B454" s="116"/>
      <c r="C454" s="116"/>
      <c r="D454" s="176" t="e">
        <f t="shared" si="7"/>
        <v>#DIV/0!</v>
      </c>
      <c r="E454" s="116"/>
    </row>
    <row r="455" spans="1:5" ht="19.5" customHeight="1">
      <c r="A455" s="177" t="s">
        <v>335</v>
      </c>
      <c r="B455" s="116"/>
      <c r="C455" s="116"/>
      <c r="D455" s="176" t="e">
        <f t="shared" si="7"/>
        <v>#DIV/0!</v>
      </c>
      <c r="E455" s="116"/>
    </row>
    <row r="456" spans="1:5" ht="19.5" customHeight="1">
      <c r="A456" s="177" t="s">
        <v>336</v>
      </c>
      <c r="B456" s="116"/>
      <c r="C456" s="116"/>
      <c r="D456" s="176" t="e">
        <f t="shared" si="7"/>
        <v>#DIV/0!</v>
      </c>
      <c r="E456" s="116"/>
    </row>
    <row r="457" spans="1:5" ht="19.5" customHeight="1">
      <c r="A457" s="177" t="s">
        <v>337</v>
      </c>
      <c r="B457" s="116"/>
      <c r="C457" s="116"/>
      <c r="D457" s="176" t="e">
        <f t="shared" si="7"/>
        <v>#DIV/0!</v>
      </c>
      <c r="E457" s="116"/>
    </row>
    <row r="458" spans="1:5" ht="19.5" customHeight="1">
      <c r="A458" s="178" t="s">
        <v>338</v>
      </c>
      <c r="B458" s="116"/>
      <c r="C458" s="116"/>
      <c r="D458" s="176" t="e">
        <f t="shared" si="7"/>
        <v>#DIV/0!</v>
      </c>
      <c r="E458" s="116"/>
    </row>
    <row r="459" spans="1:5" ht="19.5" customHeight="1">
      <c r="A459" s="178" t="s">
        <v>339</v>
      </c>
      <c r="B459" s="116"/>
      <c r="C459" s="116"/>
      <c r="D459" s="176" t="e">
        <f t="shared" si="7"/>
        <v>#DIV/0!</v>
      </c>
      <c r="E459" s="116"/>
    </row>
    <row r="460" spans="1:5" ht="19.5" customHeight="1">
      <c r="A460" s="178" t="s">
        <v>340</v>
      </c>
      <c r="B460" s="116">
        <f>SUM(B461:B465)</f>
        <v>20</v>
      </c>
      <c r="C460" s="114">
        <f>SUM(C461:C465)</f>
        <v>0</v>
      </c>
      <c r="D460" s="176">
        <f t="shared" si="7"/>
        <v>0</v>
      </c>
      <c r="E460" s="116"/>
    </row>
    <row r="461" spans="1:5" ht="19.5" customHeight="1">
      <c r="A461" s="177" t="s">
        <v>332</v>
      </c>
      <c r="B461" s="116"/>
      <c r="C461" s="116"/>
      <c r="D461" s="176" t="e">
        <f t="shared" si="7"/>
        <v>#DIV/0!</v>
      </c>
      <c r="E461" s="116"/>
    </row>
    <row r="462" spans="1:5" ht="19.5" customHeight="1">
      <c r="A462" s="177" t="s">
        <v>341</v>
      </c>
      <c r="B462" s="116"/>
      <c r="C462" s="116"/>
      <c r="D462" s="176" t="e">
        <f t="shared" si="7"/>
        <v>#DIV/0!</v>
      </c>
      <c r="E462" s="116"/>
    </row>
    <row r="463" spans="1:5" ht="19.5" customHeight="1">
      <c r="A463" s="177" t="s">
        <v>342</v>
      </c>
      <c r="B463" s="116"/>
      <c r="C463" s="116"/>
      <c r="D463" s="176" t="e">
        <f t="shared" si="7"/>
        <v>#DIV/0!</v>
      </c>
      <c r="E463" s="116"/>
    </row>
    <row r="464" spans="1:5" ht="19.5" customHeight="1">
      <c r="A464" s="178" t="s">
        <v>343</v>
      </c>
      <c r="B464" s="116"/>
      <c r="C464" s="116"/>
      <c r="D464" s="176" t="e">
        <f t="shared" si="7"/>
        <v>#DIV/0!</v>
      </c>
      <c r="E464" s="116"/>
    </row>
    <row r="465" spans="1:5" ht="19.5" customHeight="1">
      <c r="A465" s="178" t="s">
        <v>344</v>
      </c>
      <c r="B465" s="116">
        <v>20</v>
      </c>
      <c r="C465" s="116"/>
      <c r="D465" s="176">
        <f t="shared" si="7"/>
        <v>0</v>
      </c>
      <c r="E465" s="116"/>
    </row>
    <row r="466" spans="1:5" ht="19.5" customHeight="1">
      <c r="A466" s="178" t="s">
        <v>345</v>
      </c>
      <c r="B466" s="116">
        <f>SUM(B467:B471)</f>
        <v>294</v>
      </c>
      <c r="C466" s="114">
        <f>SUM(C467:C471)</f>
        <v>0</v>
      </c>
      <c r="D466" s="176">
        <f t="shared" si="7"/>
        <v>0</v>
      </c>
      <c r="E466" s="116"/>
    </row>
    <row r="467" spans="1:5" ht="19.5" customHeight="1">
      <c r="A467" s="116" t="s">
        <v>332</v>
      </c>
      <c r="B467" s="116"/>
      <c r="C467" s="116"/>
      <c r="D467" s="176" t="e">
        <f t="shared" si="7"/>
        <v>#DIV/0!</v>
      </c>
      <c r="E467" s="116"/>
    </row>
    <row r="468" spans="1:5" ht="19.5" customHeight="1">
      <c r="A468" s="177" t="s">
        <v>346</v>
      </c>
      <c r="B468" s="116">
        <v>17</v>
      </c>
      <c r="C468" s="116"/>
      <c r="D468" s="176">
        <f t="shared" si="7"/>
        <v>0</v>
      </c>
      <c r="E468" s="116"/>
    </row>
    <row r="469" spans="1:5" ht="19.5" customHeight="1">
      <c r="A469" s="177" t="s">
        <v>347</v>
      </c>
      <c r="B469" s="116"/>
      <c r="C469" s="116"/>
      <c r="D469" s="176" t="e">
        <f t="shared" si="7"/>
        <v>#DIV/0!</v>
      </c>
      <c r="E469" s="116"/>
    </row>
    <row r="470" spans="1:5" ht="19.5" customHeight="1">
      <c r="A470" s="177" t="s">
        <v>348</v>
      </c>
      <c r="B470" s="116">
        <v>277</v>
      </c>
      <c r="C470" s="116"/>
      <c r="D470" s="176">
        <f t="shared" si="7"/>
        <v>0</v>
      </c>
      <c r="E470" s="116"/>
    </row>
    <row r="471" spans="1:5" ht="19.5" customHeight="1">
      <c r="A471" s="178" t="s">
        <v>349</v>
      </c>
      <c r="B471" s="116"/>
      <c r="C471" s="116"/>
      <c r="D471" s="176" t="e">
        <f t="shared" si="7"/>
        <v>#DIV/0!</v>
      </c>
      <c r="E471" s="116"/>
    </row>
    <row r="472" spans="1:5" ht="19.5" customHeight="1">
      <c r="A472" s="178" t="s">
        <v>350</v>
      </c>
      <c r="B472" s="116">
        <f>SUM(B473:B476)</f>
        <v>0</v>
      </c>
      <c r="C472" s="114">
        <f>SUM(C473:C476)</f>
        <v>0</v>
      </c>
      <c r="D472" s="176" t="e">
        <f t="shared" si="7"/>
        <v>#DIV/0!</v>
      </c>
      <c r="E472" s="116"/>
    </row>
    <row r="473" spans="1:5" ht="19.5" customHeight="1">
      <c r="A473" s="178" t="s">
        <v>332</v>
      </c>
      <c r="B473" s="116"/>
      <c r="C473" s="116"/>
      <c r="D473" s="176" t="e">
        <f t="shared" si="7"/>
        <v>#DIV/0!</v>
      </c>
      <c r="E473" s="116"/>
    </row>
    <row r="474" spans="1:5" ht="19.5" customHeight="1">
      <c r="A474" s="177" t="s">
        <v>351</v>
      </c>
      <c r="B474" s="116"/>
      <c r="C474" s="116"/>
      <c r="D474" s="176" t="e">
        <f t="shared" si="7"/>
        <v>#DIV/0!</v>
      </c>
      <c r="E474" s="116"/>
    </row>
    <row r="475" spans="1:5" ht="19.5" customHeight="1">
      <c r="A475" s="177" t="s">
        <v>352</v>
      </c>
      <c r="B475" s="116"/>
      <c r="C475" s="116"/>
      <c r="D475" s="176" t="e">
        <f t="shared" si="7"/>
        <v>#DIV/0!</v>
      </c>
      <c r="E475" s="116"/>
    </row>
    <row r="476" spans="1:5" ht="19.5" customHeight="1">
      <c r="A476" s="177" t="s">
        <v>353</v>
      </c>
      <c r="B476" s="116"/>
      <c r="C476" s="116"/>
      <c r="D476" s="176" t="e">
        <f t="shared" si="7"/>
        <v>#DIV/0!</v>
      </c>
      <c r="E476" s="116"/>
    </row>
    <row r="477" spans="1:5" ht="19.5" customHeight="1">
      <c r="A477" s="178" t="s">
        <v>354</v>
      </c>
      <c r="B477" s="116">
        <f>SUM(B478:B481)</f>
        <v>0</v>
      </c>
      <c r="C477" s="114">
        <f>SUM(C478:C481)</f>
        <v>0</v>
      </c>
      <c r="D477" s="176" t="e">
        <f t="shared" si="7"/>
        <v>#DIV/0!</v>
      </c>
      <c r="E477" s="116"/>
    </row>
    <row r="478" spans="1:5" ht="19.5" customHeight="1">
      <c r="A478" s="178" t="s">
        <v>355</v>
      </c>
      <c r="B478" s="116"/>
      <c r="C478" s="116"/>
      <c r="D478" s="176" t="e">
        <f t="shared" si="7"/>
        <v>#DIV/0!</v>
      </c>
      <c r="E478" s="116"/>
    </row>
    <row r="479" spans="1:5" ht="19.5" customHeight="1">
      <c r="A479" s="178" t="s">
        <v>356</v>
      </c>
      <c r="B479" s="116"/>
      <c r="C479" s="116"/>
      <c r="D479" s="176" t="e">
        <f t="shared" si="7"/>
        <v>#DIV/0!</v>
      </c>
      <c r="E479" s="116"/>
    </row>
    <row r="480" spans="1:5" ht="19.5" customHeight="1">
      <c r="A480" s="116" t="s">
        <v>357</v>
      </c>
      <c r="B480" s="116"/>
      <c r="C480" s="116"/>
      <c r="D480" s="176" t="e">
        <f t="shared" si="7"/>
        <v>#DIV/0!</v>
      </c>
      <c r="E480" s="116"/>
    </row>
    <row r="481" spans="1:5" ht="19.5" customHeight="1">
      <c r="A481" s="177" t="s">
        <v>358</v>
      </c>
      <c r="B481" s="116"/>
      <c r="C481" s="116"/>
      <c r="D481" s="176" t="e">
        <f t="shared" si="7"/>
        <v>#DIV/0!</v>
      </c>
      <c r="E481" s="116"/>
    </row>
    <row r="482" spans="1:5" ht="19.5" customHeight="1">
      <c r="A482" s="177" t="s">
        <v>359</v>
      </c>
      <c r="B482" s="116">
        <f>SUM(B483:B488)</f>
        <v>63</v>
      </c>
      <c r="C482" s="114">
        <f>SUM(C483:C488)</f>
        <v>57</v>
      </c>
      <c r="D482" s="176">
        <f t="shared" si="7"/>
        <v>90.47619047619048</v>
      </c>
      <c r="E482" s="116"/>
    </row>
    <row r="483" spans="1:5" ht="19.5" customHeight="1">
      <c r="A483" s="177" t="s">
        <v>332</v>
      </c>
      <c r="B483" s="116">
        <v>61</v>
      </c>
      <c r="C483" s="116">
        <v>57</v>
      </c>
      <c r="D483" s="176">
        <f t="shared" si="7"/>
        <v>93.44262295081968</v>
      </c>
      <c r="E483" s="116"/>
    </row>
    <row r="484" spans="1:5" ht="19.5" customHeight="1">
      <c r="A484" s="178" t="s">
        <v>360</v>
      </c>
      <c r="B484" s="116">
        <v>2</v>
      </c>
      <c r="C484" s="116"/>
      <c r="D484" s="176">
        <f t="shared" si="7"/>
        <v>0</v>
      </c>
      <c r="E484" s="116"/>
    </row>
    <row r="485" spans="1:5" ht="19.5" customHeight="1">
      <c r="A485" s="178" t="s">
        <v>361</v>
      </c>
      <c r="B485" s="116"/>
      <c r="C485" s="116"/>
      <c r="D485" s="176" t="e">
        <f t="shared" si="7"/>
        <v>#DIV/0!</v>
      </c>
      <c r="E485" s="116"/>
    </row>
    <row r="486" spans="1:5" ht="19.5" customHeight="1">
      <c r="A486" s="178" t="s">
        <v>362</v>
      </c>
      <c r="B486" s="116"/>
      <c r="C486" s="116"/>
      <c r="D486" s="176" t="e">
        <f t="shared" si="7"/>
        <v>#DIV/0!</v>
      </c>
      <c r="E486" s="116"/>
    </row>
    <row r="487" spans="1:5" ht="19.5" customHeight="1">
      <c r="A487" s="177" t="s">
        <v>363</v>
      </c>
      <c r="B487" s="116"/>
      <c r="C487" s="116"/>
      <c r="D487" s="176" t="e">
        <f t="shared" si="7"/>
        <v>#DIV/0!</v>
      </c>
      <c r="E487" s="116"/>
    </row>
    <row r="488" spans="1:5" ht="19.5" customHeight="1">
      <c r="A488" s="177" t="s">
        <v>364</v>
      </c>
      <c r="B488" s="116"/>
      <c r="C488" s="116"/>
      <c r="D488" s="176" t="e">
        <f t="shared" si="7"/>
        <v>#DIV/0!</v>
      </c>
      <c r="E488" s="116"/>
    </row>
    <row r="489" spans="1:5" ht="19.5" customHeight="1">
      <c r="A489" s="177" t="s">
        <v>365</v>
      </c>
      <c r="B489" s="116">
        <f>SUM(B490:B492)</f>
        <v>0</v>
      </c>
      <c r="C489" s="114">
        <f>SUM(C490:C492)</f>
        <v>0</v>
      </c>
      <c r="D489" s="176" t="e">
        <f t="shared" si="7"/>
        <v>#DIV/0!</v>
      </c>
      <c r="E489" s="116"/>
    </row>
    <row r="490" spans="1:5" ht="19.5" customHeight="1">
      <c r="A490" s="178" t="s">
        <v>366</v>
      </c>
      <c r="B490" s="116"/>
      <c r="C490" s="116"/>
      <c r="D490" s="176" t="e">
        <f t="shared" si="7"/>
        <v>#DIV/0!</v>
      </c>
      <c r="E490" s="116"/>
    </row>
    <row r="491" spans="1:5" ht="19.5" customHeight="1">
      <c r="A491" s="178" t="s">
        <v>367</v>
      </c>
      <c r="B491" s="116"/>
      <c r="C491" s="116"/>
      <c r="D491" s="176" t="e">
        <f t="shared" si="7"/>
        <v>#DIV/0!</v>
      </c>
      <c r="E491" s="116"/>
    </row>
    <row r="492" spans="1:5" ht="19.5" customHeight="1">
      <c r="A492" s="178" t="s">
        <v>368</v>
      </c>
      <c r="B492" s="116"/>
      <c r="C492" s="116"/>
      <c r="D492" s="176" t="e">
        <f t="shared" si="7"/>
        <v>#DIV/0!</v>
      </c>
      <c r="E492" s="116"/>
    </row>
    <row r="493" spans="1:5" ht="19.5" customHeight="1">
      <c r="A493" s="116" t="s">
        <v>369</v>
      </c>
      <c r="B493" s="116">
        <f>SUM(B494:B495)</f>
        <v>0</v>
      </c>
      <c r="C493" s="114">
        <f>SUM(C494:C495)</f>
        <v>0</v>
      </c>
      <c r="D493" s="176" t="e">
        <f t="shared" si="7"/>
        <v>#DIV/0!</v>
      </c>
      <c r="E493" s="116"/>
    </row>
    <row r="494" spans="1:5" ht="19.5" customHeight="1">
      <c r="A494" s="178" t="s">
        <v>370</v>
      </c>
      <c r="B494" s="116"/>
      <c r="C494" s="116"/>
      <c r="D494" s="176" t="e">
        <f t="shared" si="7"/>
        <v>#DIV/0!</v>
      </c>
      <c r="E494" s="116"/>
    </row>
    <row r="495" spans="1:5" ht="19.5" customHeight="1">
      <c r="A495" s="178" t="s">
        <v>371</v>
      </c>
      <c r="B495" s="116"/>
      <c r="C495" s="116"/>
      <c r="D495" s="176" t="e">
        <f t="shared" si="7"/>
        <v>#DIV/0!</v>
      </c>
      <c r="E495" s="116"/>
    </row>
    <row r="496" spans="1:5" ht="19.5" customHeight="1">
      <c r="A496" s="177" t="s">
        <v>372</v>
      </c>
      <c r="B496" s="116">
        <f>SUM(B497:B500)</f>
        <v>0</v>
      </c>
      <c r="C496" s="114">
        <f>SUM(C497:C500)</f>
        <v>0</v>
      </c>
      <c r="D496" s="176" t="e">
        <f t="shared" si="7"/>
        <v>#DIV/0!</v>
      </c>
      <c r="E496" s="116"/>
    </row>
    <row r="497" spans="1:5" ht="19.5" customHeight="1">
      <c r="A497" s="177" t="s">
        <v>373</v>
      </c>
      <c r="B497" s="116"/>
      <c r="C497" s="116"/>
      <c r="D497" s="176" t="e">
        <f t="shared" si="7"/>
        <v>#DIV/0!</v>
      </c>
      <c r="E497" s="116"/>
    </row>
    <row r="498" spans="1:5" ht="19.5" customHeight="1">
      <c r="A498" s="178" t="s">
        <v>374</v>
      </c>
      <c r="B498" s="116"/>
      <c r="C498" s="116"/>
      <c r="D498" s="176" t="e">
        <f t="shared" si="7"/>
        <v>#DIV/0!</v>
      </c>
      <c r="E498" s="116"/>
    </row>
    <row r="499" spans="1:5" ht="19.5" customHeight="1">
      <c r="A499" s="178" t="s">
        <v>375</v>
      </c>
      <c r="B499" s="116"/>
      <c r="C499" s="116"/>
      <c r="D499" s="176" t="e">
        <f t="shared" si="7"/>
        <v>#DIV/0!</v>
      </c>
      <c r="E499" s="116"/>
    </row>
    <row r="500" spans="1:5" ht="19.5" customHeight="1">
      <c r="A500" s="178" t="s">
        <v>376</v>
      </c>
      <c r="B500" s="116"/>
      <c r="C500" s="116"/>
      <c r="D500" s="176" t="e">
        <f t="shared" si="7"/>
        <v>#DIV/0!</v>
      </c>
      <c r="E500" s="116"/>
    </row>
    <row r="501" spans="1:5" ht="19.5" customHeight="1">
      <c r="A501" s="116" t="s">
        <v>377</v>
      </c>
      <c r="B501" s="116">
        <f>SUM(B502,B516,B524,B535,B546,)</f>
        <v>2442</v>
      </c>
      <c r="C501" s="114">
        <f>C502+C516+C524+C535+C546</f>
        <v>1744</v>
      </c>
      <c r="D501" s="176">
        <f t="shared" si="7"/>
        <v>71.41687141687142</v>
      </c>
      <c r="E501" s="116"/>
    </row>
    <row r="502" spans="1:5" ht="19.5" customHeight="1">
      <c r="A502" s="116" t="s">
        <v>378</v>
      </c>
      <c r="B502" s="116">
        <f>SUM(B503:B515)</f>
        <v>701</v>
      </c>
      <c r="C502" s="114">
        <f>SUM(C503:C515)</f>
        <v>765</v>
      </c>
      <c r="D502" s="176">
        <f t="shared" si="7"/>
        <v>109.12981455064195</v>
      </c>
      <c r="E502" s="116"/>
    </row>
    <row r="503" spans="1:5" ht="19.5" customHeight="1">
      <c r="A503" s="116" t="s">
        <v>39</v>
      </c>
      <c r="B503" s="116">
        <v>259</v>
      </c>
      <c r="C503" s="116">
        <f>264</f>
        <v>264</v>
      </c>
      <c r="D503" s="176">
        <f t="shared" si="7"/>
        <v>101.93050193050193</v>
      </c>
      <c r="E503" s="116"/>
    </row>
    <row r="504" spans="1:5" ht="19.5" customHeight="1">
      <c r="A504" s="116" t="s">
        <v>40</v>
      </c>
      <c r="B504" s="116">
        <v>10</v>
      </c>
      <c r="C504" s="116">
        <f>5</f>
        <v>5</v>
      </c>
      <c r="D504" s="176">
        <f t="shared" si="7"/>
        <v>50</v>
      </c>
      <c r="E504" s="116"/>
    </row>
    <row r="505" spans="1:5" ht="19.5" customHeight="1">
      <c r="A505" s="116" t="s">
        <v>41</v>
      </c>
      <c r="B505" s="116"/>
      <c r="C505" s="116"/>
      <c r="D505" s="176" t="e">
        <f t="shared" si="7"/>
        <v>#DIV/0!</v>
      </c>
      <c r="E505" s="116"/>
    </row>
    <row r="506" spans="1:5" ht="19.5" customHeight="1">
      <c r="A506" s="116" t="s">
        <v>379</v>
      </c>
      <c r="B506" s="116">
        <v>5</v>
      </c>
      <c r="C506" s="116">
        <f>5+10</f>
        <v>15</v>
      </c>
      <c r="D506" s="176">
        <f t="shared" si="7"/>
        <v>300</v>
      </c>
      <c r="E506" s="116"/>
    </row>
    <row r="507" spans="1:5" ht="19.5" customHeight="1">
      <c r="A507" s="116" t="s">
        <v>380</v>
      </c>
      <c r="B507" s="116"/>
      <c r="C507" s="116"/>
      <c r="D507" s="176" t="e">
        <f t="shared" si="7"/>
        <v>#DIV/0!</v>
      </c>
      <c r="E507" s="116"/>
    </row>
    <row r="508" spans="1:5" ht="19.5" customHeight="1">
      <c r="A508" s="116" t="s">
        <v>381</v>
      </c>
      <c r="B508" s="116">
        <v>75</v>
      </c>
      <c r="C508" s="116">
        <f>103</f>
        <v>103</v>
      </c>
      <c r="D508" s="176">
        <f t="shared" si="7"/>
        <v>137.33333333333334</v>
      </c>
      <c r="E508" s="116"/>
    </row>
    <row r="509" spans="1:5" ht="19.5" customHeight="1">
      <c r="A509" s="116" t="s">
        <v>382</v>
      </c>
      <c r="B509" s="116"/>
      <c r="C509" s="116"/>
      <c r="D509" s="176" t="e">
        <f t="shared" si="7"/>
        <v>#DIV/0!</v>
      </c>
      <c r="E509" s="116"/>
    </row>
    <row r="510" spans="1:5" ht="19.5" customHeight="1">
      <c r="A510" s="116" t="s">
        <v>383</v>
      </c>
      <c r="B510" s="116"/>
      <c r="C510" s="116"/>
      <c r="D510" s="176" t="e">
        <f t="shared" si="7"/>
        <v>#DIV/0!</v>
      </c>
      <c r="E510" s="116"/>
    </row>
    <row r="511" spans="1:5" ht="19.5" customHeight="1">
      <c r="A511" s="116" t="s">
        <v>384</v>
      </c>
      <c r="B511" s="116"/>
      <c r="C511" s="116"/>
      <c r="D511" s="176" t="e">
        <f t="shared" si="7"/>
        <v>#DIV/0!</v>
      </c>
      <c r="E511" s="116"/>
    </row>
    <row r="512" spans="1:5" ht="19.5" customHeight="1">
      <c r="A512" s="116" t="s">
        <v>385</v>
      </c>
      <c r="B512" s="116"/>
      <c r="C512" s="116"/>
      <c r="D512" s="176" t="e">
        <f t="shared" si="7"/>
        <v>#DIV/0!</v>
      </c>
      <c r="E512" s="116"/>
    </row>
    <row r="513" spans="1:5" ht="19.5" customHeight="1">
      <c r="A513" s="116" t="s">
        <v>386</v>
      </c>
      <c r="B513" s="116"/>
      <c r="C513" s="116"/>
      <c r="D513" s="176" t="e">
        <f t="shared" si="7"/>
        <v>#DIV/0!</v>
      </c>
      <c r="E513" s="116"/>
    </row>
    <row r="514" spans="1:5" ht="19.5" customHeight="1">
      <c r="A514" s="116" t="s">
        <v>387</v>
      </c>
      <c r="B514" s="116">
        <v>10</v>
      </c>
      <c r="C514" s="116">
        <f>3</f>
        <v>3</v>
      </c>
      <c r="D514" s="176">
        <f t="shared" si="7"/>
        <v>30</v>
      </c>
      <c r="E514" s="116"/>
    </row>
    <row r="515" spans="1:5" ht="19.5" customHeight="1">
      <c r="A515" s="116" t="s">
        <v>388</v>
      </c>
      <c r="B515" s="116">
        <v>342</v>
      </c>
      <c r="C515" s="116">
        <f>329+16+30</f>
        <v>375</v>
      </c>
      <c r="D515" s="176">
        <f t="shared" si="7"/>
        <v>109.64912280701755</v>
      </c>
      <c r="E515" s="116"/>
    </row>
    <row r="516" spans="1:5" ht="19.5" customHeight="1">
      <c r="A516" s="116" t="s">
        <v>389</v>
      </c>
      <c r="B516" s="116">
        <f>SUM(B517:B523)</f>
        <v>791</v>
      </c>
      <c r="C516" s="114">
        <f>SUM(C517:C523)</f>
        <v>312</v>
      </c>
      <c r="D516" s="176">
        <f t="shared" si="7"/>
        <v>39.443742098609356</v>
      </c>
      <c r="E516" s="116"/>
    </row>
    <row r="517" spans="1:5" ht="19.5" customHeight="1">
      <c r="A517" s="116" t="s">
        <v>39</v>
      </c>
      <c r="B517" s="116">
        <v>125</v>
      </c>
      <c r="C517" s="116">
        <f>125</f>
        <v>125</v>
      </c>
      <c r="D517" s="176">
        <f aca="true" t="shared" si="8" ref="D517:D580">C517/B517*100</f>
        <v>100</v>
      </c>
      <c r="E517" s="116"/>
    </row>
    <row r="518" spans="1:5" ht="19.5" customHeight="1">
      <c r="A518" s="116" t="s">
        <v>40</v>
      </c>
      <c r="B518" s="116"/>
      <c r="C518" s="116"/>
      <c r="D518" s="176" t="e">
        <f t="shared" si="8"/>
        <v>#DIV/0!</v>
      </c>
      <c r="E518" s="116"/>
    </row>
    <row r="519" spans="1:5" ht="19.5" customHeight="1">
      <c r="A519" s="116" t="s">
        <v>41</v>
      </c>
      <c r="B519" s="116"/>
      <c r="C519" s="116"/>
      <c r="D519" s="176" t="e">
        <f t="shared" si="8"/>
        <v>#DIV/0!</v>
      </c>
      <c r="E519" s="116"/>
    </row>
    <row r="520" spans="1:5" ht="19.5" customHeight="1">
      <c r="A520" s="116" t="s">
        <v>390</v>
      </c>
      <c r="B520" s="116">
        <v>415</v>
      </c>
      <c r="C520" s="116">
        <f>60+1</f>
        <v>61</v>
      </c>
      <c r="D520" s="176">
        <f t="shared" si="8"/>
        <v>14.698795180722893</v>
      </c>
      <c r="E520" s="116"/>
    </row>
    <row r="521" spans="1:5" ht="19.5" customHeight="1">
      <c r="A521" s="116" t="s">
        <v>391</v>
      </c>
      <c r="B521" s="116">
        <v>109</v>
      </c>
      <c r="C521" s="116">
        <f>46+65</f>
        <v>111</v>
      </c>
      <c r="D521" s="176">
        <f t="shared" si="8"/>
        <v>101.83486238532109</v>
      </c>
      <c r="E521" s="116"/>
    </row>
    <row r="522" spans="1:5" ht="19.5" customHeight="1">
      <c r="A522" s="116" t="s">
        <v>392</v>
      </c>
      <c r="B522" s="116"/>
      <c r="C522" s="116"/>
      <c r="D522" s="176" t="e">
        <f t="shared" si="8"/>
        <v>#DIV/0!</v>
      </c>
      <c r="E522" s="116"/>
    </row>
    <row r="523" spans="1:5" ht="19.5" customHeight="1">
      <c r="A523" s="116" t="s">
        <v>393</v>
      </c>
      <c r="B523" s="116">
        <v>142</v>
      </c>
      <c r="C523" s="116">
        <f>15</f>
        <v>15</v>
      </c>
      <c r="D523" s="176">
        <f t="shared" si="8"/>
        <v>10.56338028169014</v>
      </c>
      <c r="E523" s="116"/>
    </row>
    <row r="524" spans="1:5" ht="19.5" customHeight="1">
      <c r="A524" s="116" t="s">
        <v>394</v>
      </c>
      <c r="B524" s="116">
        <f>SUM(B525:B534)</f>
        <v>0</v>
      </c>
      <c r="C524" s="114">
        <f>SUM(C525:C534)</f>
        <v>0</v>
      </c>
      <c r="D524" s="176" t="e">
        <f t="shared" si="8"/>
        <v>#DIV/0!</v>
      </c>
      <c r="E524" s="116"/>
    </row>
    <row r="525" spans="1:5" ht="19.5" customHeight="1">
      <c r="A525" s="116" t="s">
        <v>39</v>
      </c>
      <c r="B525" s="116"/>
      <c r="C525" s="116"/>
      <c r="D525" s="176" t="e">
        <f t="shared" si="8"/>
        <v>#DIV/0!</v>
      </c>
      <c r="E525" s="116"/>
    </row>
    <row r="526" spans="1:5" ht="19.5" customHeight="1">
      <c r="A526" s="116" t="s">
        <v>40</v>
      </c>
      <c r="B526" s="116"/>
      <c r="C526" s="116"/>
      <c r="D526" s="176" t="e">
        <f t="shared" si="8"/>
        <v>#DIV/0!</v>
      </c>
      <c r="E526" s="116"/>
    </row>
    <row r="527" spans="1:5" ht="19.5" customHeight="1">
      <c r="A527" s="116" t="s">
        <v>41</v>
      </c>
      <c r="B527" s="116"/>
      <c r="C527" s="116"/>
      <c r="D527" s="176" t="e">
        <f t="shared" si="8"/>
        <v>#DIV/0!</v>
      </c>
      <c r="E527" s="116"/>
    </row>
    <row r="528" spans="1:5" ht="19.5" customHeight="1">
      <c r="A528" s="116" t="s">
        <v>395</v>
      </c>
      <c r="B528" s="116"/>
      <c r="C528" s="116"/>
      <c r="D528" s="176" t="e">
        <f t="shared" si="8"/>
        <v>#DIV/0!</v>
      </c>
      <c r="E528" s="116"/>
    </row>
    <row r="529" spans="1:5" ht="19.5" customHeight="1">
      <c r="A529" s="116" t="s">
        <v>396</v>
      </c>
      <c r="B529" s="116"/>
      <c r="C529" s="116"/>
      <c r="D529" s="176" t="e">
        <f t="shared" si="8"/>
        <v>#DIV/0!</v>
      </c>
      <c r="E529" s="116"/>
    </row>
    <row r="530" spans="1:5" ht="19.5" customHeight="1">
      <c r="A530" s="116" t="s">
        <v>397</v>
      </c>
      <c r="B530" s="116"/>
      <c r="C530" s="116"/>
      <c r="D530" s="176" t="e">
        <f t="shared" si="8"/>
        <v>#DIV/0!</v>
      </c>
      <c r="E530" s="116"/>
    </row>
    <row r="531" spans="1:5" ht="19.5" customHeight="1">
      <c r="A531" s="116" t="s">
        <v>398</v>
      </c>
      <c r="B531" s="116"/>
      <c r="C531" s="116"/>
      <c r="D531" s="176" t="e">
        <f t="shared" si="8"/>
        <v>#DIV/0!</v>
      </c>
      <c r="E531" s="116"/>
    </row>
    <row r="532" spans="1:5" ht="19.5" customHeight="1">
      <c r="A532" s="116" t="s">
        <v>399</v>
      </c>
      <c r="B532" s="116"/>
      <c r="C532" s="116"/>
      <c r="D532" s="176" t="e">
        <f t="shared" si="8"/>
        <v>#DIV/0!</v>
      </c>
      <c r="E532" s="116"/>
    </row>
    <row r="533" spans="1:5" ht="19.5" customHeight="1">
      <c r="A533" s="116" t="s">
        <v>400</v>
      </c>
      <c r="B533" s="116"/>
      <c r="C533" s="116"/>
      <c r="D533" s="176" t="e">
        <f t="shared" si="8"/>
        <v>#DIV/0!</v>
      </c>
      <c r="E533" s="116"/>
    </row>
    <row r="534" spans="1:5" ht="19.5" customHeight="1">
      <c r="A534" s="116" t="s">
        <v>401</v>
      </c>
      <c r="B534" s="116"/>
      <c r="C534" s="116"/>
      <c r="D534" s="176" t="e">
        <f t="shared" si="8"/>
        <v>#DIV/0!</v>
      </c>
      <c r="E534" s="116"/>
    </row>
    <row r="535" spans="1:5" ht="19.5" customHeight="1">
      <c r="A535" s="116" t="s">
        <v>402</v>
      </c>
      <c r="B535" s="116">
        <f>SUM(B536:B545)</f>
        <v>747</v>
      </c>
      <c r="C535" s="114">
        <f>SUM(C536:C545)</f>
        <v>583</v>
      </c>
      <c r="D535" s="176">
        <f t="shared" si="8"/>
        <v>78.045515394913</v>
      </c>
      <c r="E535" s="116"/>
    </row>
    <row r="536" spans="1:5" ht="19.5" customHeight="1">
      <c r="A536" s="116" t="s">
        <v>39</v>
      </c>
      <c r="B536" s="116"/>
      <c r="C536" s="116"/>
      <c r="D536" s="176" t="e">
        <f t="shared" si="8"/>
        <v>#DIV/0!</v>
      </c>
      <c r="E536" s="116"/>
    </row>
    <row r="537" spans="1:5" ht="19.5" customHeight="1">
      <c r="A537" s="116" t="s">
        <v>40</v>
      </c>
      <c r="B537" s="116"/>
      <c r="C537" s="116"/>
      <c r="D537" s="176" t="e">
        <f t="shared" si="8"/>
        <v>#DIV/0!</v>
      </c>
      <c r="E537" s="116"/>
    </row>
    <row r="538" spans="1:5" ht="19.5" customHeight="1">
      <c r="A538" s="116" t="s">
        <v>41</v>
      </c>
      <c r="B538" s="116"/>
      <c r="C538" s="116"/>
      <c r="D538" s="176" t="e">
        <f t="shared" si="8"/>
        <v>#DIV/0!</v>
      </c>
      <c r="E538" s="116"/>
    </row>
    <row r="539" spans="1:5" ht="19.5" customHeight="1">
      <c r="A539" s="116" t="s">
        <v>403</v>
      </c>
      <c r="B539" s="116">
        <v>329</v>
      </c>
      <c r="C539" s="116">
        <v>322</v>
      </c>
      <c r="D539" s="176">
        <f t="shared" si="8"/>
        <v>97.87234042553192</v>
      </c>
      <c r="E539" s="116"/>
    </row>
    <row r="540" spans="1:5" ht="19.5" customHeight="1">
      <c r="A540" s="116" t="s">
        <v>404</v>
      </c>
      <c r="B540" s="116"/>
      <c r="C540" s="116"/>
      <c r="D540" s="176" t="e">
        <f t="shared" si="8"/>
        <v>#DIV/0!</v>
      </c>
      <c r="E540" s="116"/>
    </row>
    <row r="541" spans="1:5" ht="19.5" customHeight="1">
      <c r="A541" s="116" t="s">
        <v>405</v>
      </c>
      <c r="B541" s="116"/>
      <c r="C541" s="116"/>
      <c r="D541" s="176" t="e">
        <f t="shared" si="8"/>
        <v>#DIV/0!</v>
      </c>
      <c r="E541" s="116"/>
    </row>
    <row r="542" spans="1:5" ht="19.5" customHeight="1">
      <c r="A542" s="116" t="s">
        <v>406</v>
      </c>
      <c r="B542" s="116"/>
      <c r="C542" s="116"/>
      <c r="D542" s="176" t="e">
        <f t="shared" si="8"/>
        <v>#DIV/0!</v>
      </c>
      <c r="E542" s="116"/>
    </row>
    <row r="543" spans="1:5" ht="19.5" customHeight="1">
      <c r="A543" s="116" t="s">
        <v>407</v>
      </c>
      <c r="B543" s="116"/>
      <c r="C543" s="116"/>
      <c r="D543" s="176" t="e">
        <f t="shared" si="8"/>
        <v>#DIV/0!</v>
      </c>
      <c r="E543" s="116"/>
    </row>
    <row r="544" spans="1:5" ht="19.5" customHeight="1">
      <c r="A544" s="116" t="s">
        <v>408</v>
      </c>
      <c r="B544" s="116"/>
      <c r="C544" s="116"/>
      <c r="D544" s="176" t="e">
        <f t="shared" si="8"/>
        <v>#DIV/0!</v>
      </c>
      <c r="E544" s="116"/>
    </row>
    <row r="545" spans="1:5" ht="19.5" customHeight="1">
      <c r="A545" s="116" t="s">
        <v>409</v>
      </c>
      <c r="B545" s="116">
        <v>418</v>
      </c>
      <c r="C545" s="116">
        <f>39+222</f>
        <v>261</v>
      </c>
      <c r="D545" s="176">
        <f t="shared" si="8"/>
        <v>62.44019138755981</v>
      </c>
      <c r="E545" s="116"/>
    </row>
    <row r="546" spans="1:5" ht="19.5" customHeight="1">
      <c r="A546" s="116" t="s">
        <v>410</v>
      </c>
      <c r="B546" s="116">
        <f>SUM(B547:B549)</f>
        <v>203</v>
      </c>
      <c r="C546" s="114">
        <f>SUM(C547:C549)</f>
        <v>84</v>
      </c>
      <c r="D546" s="176">
        <f t="shared" si="8"/>
        <v>41.37931034482759</v>
      </c>
      <c r="E546" s="116"/>
    </row>
    <row r="547" spans="1:5" ht="19.5" customHeight="1">
      <c r="A547" s="116" t="s">
        <v>411</v>
      </c>
      <c r="B547" s="116">
        <v>20</v>
      </c>
      <c r="C547" s="116"/>
      <c r="D547" s="176">
        <f t="shared" si="8"/>
        <v>0</v>
      </c>
      <c r="E547" s="116"/>
    </row>
    <row r="548" spans="1:5" ht="19.5" customHeight="1">
      <c r="A548" s="116" t="s">
        <v>412</v>
      </c>
      <c r="B548" s="116"/>
      <c r="C548" s="116"/>
      <c r="D548" s="176" t="e">
        <f t="shared" si="8"/>
        <v>#DIV/0!</v>
      </c>
      <c r="E548" s="116"/>
    </row>
    <row r="549" spans="1:5" ht="19.5" customHeight="1">
      <c r="A549" s="116" t="s">
        <v>413</v>
      </c>
      <c r="B549" s="116">
        <v>183</v>
      </c>
      <c r="C549" s="116">
        <f>67+14+3</f>
        <v>84</v>
      </c>
      <c r="D549" s="176">
        <f t="shared" si="8"/>
        <v>45.90163934426229</v>
      </c>
      <c r="E549" s="116"/>
    </row>
    <row r="550" spans="1:5" ht="19.5" customHeight="1">
      <c r="A550" s="116" t="s">
        <v>414</v>
      </c>
      <c r="B550" s="116">
        <f>SUM(B551,B565,B576,B578,B587,B591,B601,B609,B615,B622,B631,B636,B641,B644,B647,B650,B653,B656,B660,B665)</f>
        <v>21438</v>
      </c>
      <c r="C550" s="114">
        <f>C551+C565+C576+C578+C587+C591+C601+C609+C615+C622+C631+C636+C641+C644+C647+C650+C653+C656+C660+C665</f>
        <v>22937</v>
      </c>
      <c r="D550" s="176">
        <f t="shared" si="8"/>
        <v>106.99225674036757</v>
      </c>
      <c r="E550" s="116"/>
    </row>
    <row r="551" spans="1:5" ht="19.5" customHeight="1">
      <c r="A551" s="116" t="s">
        <v>415</v>
      </c>
      <c r="B551" s="116">
        <f>SUM(B552:B564)</f>
        <v>731</v>
      </c>
      <c r="C551" s="114">
        <f>SUM(C552:C564)</f>
        <v>883</v>
      </c>
      <c r="D551" s="176">
        <f t="shared" si="8"/>
        <v>120.7934336525308</v>
      </c>
      <c r="E551" s="116"/>
    </row>
    <row r="552" spans="1:5" ht="19.5" customHeight="1">
      <c r="A552" s="116" t="s">
        <v>39</v>
      </c>
      <c r="B552" s="116">
        <v>513</v>
      </c>
      <c r="C552" s="116">
        <f>561</f>
        <v>561</v>
      </c>
      <c r="D552" s="176">
        <f t="shared" si="8"/>
        <v>109.35672514619883</v>
      </c>
      <c r="E552" s="116"/>
    </row>
    <row r="553" spans="1:5" ht="19.5" customHeight="1">
      <c r="A553" s="116" t="s">
        <v>40</v>
      </c>
      <c r="B553" s="116">
        <v>51</v>
      </c>
      <c r="C553" s="116">
        <f>43</f>
        <v>43</v>
      </c>
      <c r="D553" s="176">
        <f t="shared" si="8"/>
        <v>84.31372549019608</v>
      </c>
      <c r="E553" s="116"/>
    </row>
    <row r="554" spans="1:5" ht="19.5" customHeight="1">
      <c r="A554" s="116" t="s">
        <v>41</v>
      </c>
      <c r="B554" s="116"/>
      <c r="C554" s="116"/>
      <c r="D554" s="176" t="e">
        <f t="shared" si="8"/>
        <v>#DIV/0!</v>
      </c>
      <c r="E554" s="116"/>
    </row>
    <row r="555" spans="1:5" ht="19.5" customHeight="1">
      <c r="A555" s="116" t="s">
        <v>416</v>
      </c>
      <c r="B555" s="116"/>
      <c r="C555" s="116"/>
      <c r="D555" s="176" t="e">
        <f t="shared" si="8"/>
        <v>#DIV/0!</v>
      </c>
      <c r="E555" s="116"/>
    </row>
    <row r="556" spans="1:5" ht="19.5" customHeight="1">
      <c r="A556" s="116" t="s">
        <v>417</v>
      </c>
      <c r="B556" s="116"/>
      <c r="C556" s="116"/>
      <c r="D556" s="176" t="e">
        <f t="shared" si="8"/>
        <v>#DIV/0!</v>
      </c>
      <c r="E556" s="116"/>
    </row>
    <row r="557" spans="1:5" ht="19.5" customHeight="1">
      <c r="A557" s="116" t="s">
        <v>418</v>
      </c>
      <c r="B557" s="116"/>
      <c r="C557" s="116"/>
      <c r="D557" s="176" t="e">
        <f t="shared" si="8"/>
        <v>#DIV/0!</v>
      </c>
      <c r="E557" s="116"/>
    </row>
    <row r="558" spans="1:5" ht="19.5" customHeight="1">
      <c r="A558" s="116" t="s">
        <v>419</v>
      </c>
      <c r="B558" s="116"/>
      <c r="C558" s="116"/>
      <c r="D558" s="176" t="e">
        <f t="shared" si="8"/>
        <v>#DIV/0!</v>
      </c>
      <c r="E558" s="116"/>
    </row>
    <row r="559" spans="1:5" ht="19.5" customHeight="1">
      <c r="A559" s="116" t="s">
        <v>82</v>
      </c>
      <c r="B559" s="116"/>
      <c r="C559" s="116"/>
      <c r="D559" s="176" t="e">
        <f t="shared" si="8"/>
        <v>#DIV/0!</v>
      </c>
      <c r="E559" s="116"/>
    </row>
    <row r="560" spans="1:5" ht="19.5" customHeight="1">
      <c r="A560" s="116" t="s">
        <v>420</v>
      </c>
      <c r="B560" s="116">
        <v>167</v>
      </c>
      <c r="C560" s="116">
        <f>279</f>
        <v>279</v>
      </c>
      <c r="D560" s="176">
        <f t="shared" si="8"/>
        <v>167.06586826347305</v>
      </c>
      <c r="E560" s="116"/>
    </row>
    <row r="561" spans="1:5" ht="19.5" customHeight="1">
      <c r="A561" s="116" t="s">
        <v>421</v>
      </c>
      <c r="B561" s="116"/>
      <c r="C561" s="116"/>
      <c r="D561" s="176" t="e">
        <f t="shared" si="8"/>
        <v>#DIV/0!</v>
      </c>
      <c r="E561" s="116"/>
    </row>
    <row r="562" spans="1:5" ht="19.5" customHeight="1">
      <c r="A562" s="116" t="s">
        <v>422</v>
      </c>
      <c r="B562" s="116"/>
      <c r="C562" s="116"/>
      <c r="D562" s="176" t="e">
        <f t="shared" si="8"/>
        <v>#DIV/0!</v>
      </c>
      <c r="E562" s="116"/>
    </row>
    <row r="563" spans="1:5" ht="19.5" customHeight="1">
      <c r="A563" s="116" t="s">
        <v>423</v>
      </c>
      <c r="B563" s="116"/>
      <c r="C563" s="116"/>
      <c r="D563" s="176" t="e">
        <f t="shared" si="8"/>
        <v>#DIV/0!</v>
      </c>
      <c r="E563" s="116"/>
    </row>
    <row r="564" spans="1:5" ht="19.5" customHeight="1">
      <c r="A564" s="116" t="s">
        <v>424</v>
      </c>
      <c r="B564" s="116"/>
      <c r="C564" s="116"/>
      <c r="D564" s="176" t="e">
        <f t="shared" si="8"/>
        <v>#DIV/0!</v>
      </c>
      <c r="E564" s="116"/>
    </row>
    <row r="565" spans="1:5" ht="19.5" customHeight="1">
      <c r="A565" s="116" t="s">
        <v>425</v>
      </c>
      <c r="B565" s="116">
        <f>SUM(B566:B575)</f>
        <v>323</v>
      </c>
      <c r="C565" s="114">
        <f>SUM(C566:C575)</f>
        <v>310</v>
      </c>
      <c r="D565" s="176">
        <f t="shared" si="8"/>
        <v>95.97523219814241</v>
      </c>
      <c r="E565" s="116"/>
    </row>
    <row r="566" spans="1:5" ht="19.5" customHeight="1">
      <c r="A566" s="116" t="s">
        <v>39</v>
      </c>
      <c r="B566" s="116">
        <v>201</v>
      </c>
      <c r="C566" s="116">
        <f>201</f>
        <v>201</v>
      </c>
      <c r="D566" s="176">
        <f t="shared" si="8"/>
        <v>100</v>
      </c>
      <c r="E566" s="116"/>
    </row>
    <row r="567" spans="1:5" ht="19.5" customHeight="1">
      <c r="A567" s="116" t="s">
        <v>40</v>
      </c>
      <c r="B567" s="116"/>
      <c r="C567" s="116">
        <f>2</f>
        <v>2</v>
      </c>
      <c r="D567" s="176" t="e">
        <f t="shared" si="8"/>
        <v>#DIV/0!</v>
      </c>
      <c r="E567" s="116"/>
    </row>
    <row r="568" spans="1:5" ht="19.5" customHeight="1">
      <c r="A568" s="116" t="s">
        <v>41</v>
      </c>
      <c r="B568" s="116"/>
      <c r="C568" s="116"/>
      <c r="D568" s="176" t="e">
        <f t="shared" si="8"/>
        <v>#DIV/0!</v>
      </c>
      <c r="E568" s="116"/>
    </row>
    <row r="569" spans="1:5" ht="19.5" customHeight="1">
      <c r="A569" s="116" t="s">
        <v>426</v>
      </c>
      <c r="B569" s="116"/>
      <c r="C569" s="116"/>
      <c r="D569" s="176" t="e">
        <f t="shared" si="8"/>
        <v>#DIV/0!</v>
      </c>
      <c r="E569" s="116"/>
    </row>
    <row r="570" spans="1:5" ht="19.5" customHeight="1">
      <c r="A570" s="116" t="s">
        <v>427</v>
      </c>
      <c r="B570" s="116">
        <v>17</v>
      </c>
      <c r="C570" s="116">
        <v>18</v>
      </c>
      <c r="D570" s="176">
        <f t="shared" si="8"/>
        <v>105.88235294117648</v>
      </c>
      <c r="E570" s="116"/>
    </row>
    <row r="571" spans="1:5" ht="19.5" customHeight="1">
      <c r="A571" s="116" t="s">
        <v>428</v>
      </c>
      <c r="B571" s="116"/>
      <c r="C571" s="116"/>
      <c r="D571" s="176" t="e">
        <f t="shared" si="8"/>
        <v>#DIV/0!</v>
      </c>
      <c r="E571" s="116"/>
    </row>
    <row r="572" spans="1:5" ht="19.5" customHeight="1">
      <c r="A572" s="116" t="s">
        <v>429</v>
      </c>
      <c r="B572" s="116">
        <v>75</v>
      </c>
      <c r="C572" s="116">
        <f>37</f>
        <v>37</v>
      </c>
      <c r="D572" s="176">
        <f t="shared" si="8"/>
        <v>49.333333333333336</v>
      </c>
      <c r="E572" s="116"/>
    </row>
    <row r="573" spans="1:5" ht="19.5" customHeight="1">
      <c r="A573" s="116" t="s">
        <v>430</v>
      </c>
      <c r="B573" s="116"/>
      <c r="C573" s="116"/>
      <c r="D573" s="176" t="e">
        <f t="shared" si="8"/>
        <v>#DIV/0!</v>
      </c>
      <c r="E573" s="116"/>
    </row>
    <row r="574" spans="1:5" ht="19.5" customHeight="1">
      <c r="A574" s="116" t="s">
        <v>431</v>
      </c>
      <c r="B574" s="116"/>
      <c r="C574" s="116"/>
      <c r="D574" s="176" t="e">
        <f t="shared" si="8"/>
        <v>#DIV/0!</v>
      </c>
      <c r="E574" s="116"/>
    </row>
    <row r="575" spans="1:5" ht="19.5" customHeight="1">
      <c r="A575" s="116" t="s">
        <v>432</v>
      </c>
      <c r="B575" s="116">
        <v>30</v>
      </c>
      <c r="C575" s="116">
        <f>52</f>
        <v>52</v>
      </c>
      <c r="D575" s="176">
        <f t="shared" si="8"/>
        <v>173.33333333333334</v>
      </c>
      <c r="E575" s="116"/>
    </row>
    <row r="576" spans="1:5" s="172" customFormat="1" ht="19.5" customHeight="1">
      <c r="A576" s="116" t="s">
        <v>433</v>
      </c>
      <c r="B576" s="181">
        <f>SUM(B577)</f>
        <v>0</v>
      </c>
      <c r="C576" s="182">
        <f>C577</f>
        <v>0</v>
      </c>
      <c r="D576" s="176" t="e">
        <f t="shared" si="8"/>
        <v>#DIV/0!</v>
      </c>
      <c r="E576" s="181"/>
    </row>
    <row r="577" spans="1:5" s="172" customFormat="1" ht="19.5" customHeight="1">
      <c r="A577" s="116" t="s">
        <v>434</v>
      </c>
      <c r="B577" s="181"/>
      <c r="C577" s="181"/>
      <c r="D577" s="176" t="e">
        <f t="shared" si="8"/>
        <v>#DIV/0!</v>
      </c>
      <c r="E577" s="181"/>
    </row>
    <row r="578" spans="1:5" ht="19.5" customHeight="1">
      <c r="A578" s="116" t="s">
        <v>435</v>
      </c>
      <c r="B578" s="116">
        <f>SUM(B579:B586)</f>
        <v>12608</v>
      </c>
      <c r="C578" s="114">
        <f>SUM(C579:C586)</f>
        <v>14976</v>
      </c>
      <c r="D578" s="176">
        <f t="shared" si="8"/>
        <v>118.78172588832487</v>
      </c>
      <c r="E578" s="116"/>
    </row>
    <row r="579" spans="1:5" ht="19.5" customHeight="1">
      <c r="A579" s="116" t="s">
        <v>436</v>
      </c>
      <c r="B579" s="116">
        <v>4000</v>
      </c>
      <c r="C579" s="116"/>
      <c r="D579" s="176">
        <f t="shared" si="8"/>
        <v>0</v>
      </c>
      <c r="E579" s="116"/>
    </row>
    <row r="580" spans="1:5" ht="19.5" customHeight="1">
      <c r="A580" s="116" t="s">
        <v>437</v>
      </c>
      <c r="B580" s="116"/>
      <c r="C580" s="116"/>
      <c r="D580" s="176" t="e">
        <f t="shared" si="8"/>
        <v>#DIV/0!</v>
      </c>
      <c r="E580" s="116"/>
    </row>
    <row r="581" spans="1:5" ht="19.5" customHeight="1">
      <c r="A581" s="116" t="s">
        <v>438</v>
      </c>
      <c r="B581" s="116">
        <v>214</v>
      </c>
      <c r="C581" s="116">
        <v>196</v>
      </c>
      <c r="D581" s="176">
        <f aca="true" t="shared" si="9" ref="D581:D644">C581/B581*100</f>
        <v>91.58878504672897</v>
      </c>
      <c r="E581" s="116"/>
    </row>
    <row r="582" spans="1:5" ht="19.5" customHeight="1">
      <c r="A582" s="116" t="s">
        <v>439</v>
      </c>
      <c r="B582" s="116"/>
      <c r="C582" s="116"/>
      <c r="D582" s="176" t="e">
        <f t="shared" si="9"/>
        <v>#DIV/0!</v>
      </c>
      <c r="E582" s="116"/>
    </row>
    <row r="583" spans="1:5" s="172" customFormat="1" ht="19.5" customHeight="1">
      <c r="A583" s="116" t="s">
        <v>440</v>
      </c>
      <c r="B583" s="181"/>
      <c r="C583" s="181"/>
      <c r="D583" s="176" t="e">
        <f t="shared" si="9"/>
        <v>#DIV/0!</v>
      </c>
      <c r="E583" s="181"/>
    </row>
    <row r="584" spans="1:5" s="172" customFormat="1" ht="19.5" customHeight="1">
      <c r="A584" s="116" t="s">
        <v>441</v>
      </c>
      <c r="B584" s="181"/>
      <c r="C584" s="181"/>
      <c r="D584" s="176" t="e">
        <f t="shared" si="9"/>
        <v>#DIV/0!</v>
      </c>
      <c r="E584" s="181"/>
    </row>
    <row r="585" spans="1:5" s="172" customFormat="1" ht="19.5" customHeight="1">
      <c r="A585" s="116" t="s">
        <v>442</v>
      </c>
      <c r="B585" s="181"/>
      <c r="C585" s="181">
        <f>249</f>
        <v>249</v>
      </c>
      <c r="D585" s="176" t="e">
        <f t="shared" si="9"/>
        <v>#DIV/0!</v>
      </c>
      <c r="E585" s="181"/>
    </row>
    <row r="586" spans="1:5" ht="19.5" customHeight="1">
      <c r="A586" s="116" t="s">
        <v>443</v>
      </c>
      <c r="B586" s="116">
        <v>8394</v>
      </c>
      <c r="C586" s="116">
        <f>12901+2464-1482-676+1324</f>
        <v>14531</v>
      </c>
      <c r="D586" s="176">
        <f t="shared" si="9"/>
        <v>173.11174648558494</v>
      </c>
      <c r="E586" s="116"/>
    </row>
    <row r="587" spans="1:5" ht="19.5" customHeight="1">
      <c r="A587" s="116" t="s">
        <v>444</v>
      </c>
      <c r="B587" s="116">
        <f>SUM(B588:B590)</f>
        <v>29</v>
      </c>
      <c r="C587" s="114">
        <f>SUM(C588:C590)</f>
        <v>0</v>
      </c>
      <c r="D587" s="176">
        <f t="shared" si="9"/>
        <v>0</v>
      </c>
      <c r="E587" s="116"/>
    </row>
    <row r="588" spans="1:5" ht="19.5" customHeight="1">
      <c r="A588" s="116" t="s">
        <v>445</v>
      </c>
      <c r="B588" s="116">
        <v>29</v>
      </c>
      <c r="C588" s="116"/>
      <c r="D588" s="176">
        <f t="shared" si="9"/>
        <v>0</v>
      </c>
      <c r="E588" s="116"/>
    </row>
    <row r="589" spans="1:5" ht="19.5" customHeight="1">
      <c r="A589" s="116" t="s">
        <v>446</v>
      </c>
      <c r="B589" s="116"/>
      <c r="C589" s="116"/>
      <c r="D589" s="176" t="e">
        <f t="shared" si="9"/>
        <v>#DIV/0!</v>
      </c>
      <c r="E589" s="116"/>
    </row>
    <row r="590" spans="1:5" ht="19.5" customHeight="1">
      <c r="A590" s="116" t="s">
        <v>447</v>
      </c>
      <c r="B590" s="116"/>
      <c r="C590" s="116"/>
      <c r="D590" s="176" t="e">
        <f t="shared" si="9"/>
        <v>#DIV/0!</v>
      </c>
      <c r="E590" s="116"/>
    </row>
    <row r="591" spans="1:5" ht="19.5" customHeight="1">
      <c r="A591" s="116" t="s">
        <v>448</v>
      </c>
      <c r="B591" s="116">
        <f>SUM(B592:B600)</f>
        <v>805</v>
      </c>
      <c r="C591" s="114">
        <f>SUM(C592:C600)</f>
        <v>1222</v>
      </c>
      <c r="D591" s="176">
        <f t="shared" si="9"/>
        <v>151.80124223602485</v>
      </c>
      <c r="E591" s="116"/>
    </row>
    <row r="592" spans="1:5" ht="19.5" customHeight="1">
      <c r="A592" s="116" t="s">
        <v>449</v>
      </c>
      <c r="B592" s="116"/>
      <c r="C592" s="116"/>
      <c r="D592" s="176" t="e">
        <f t="shared" si="9"/>
        <v>#DIV/0!</v>
      </c>
      <c r="E592" s="116"/>
    </row>
    <row r="593" spans="1:5" ht="19.5" customHeight="1">
      <c r="A593" s="116" t="s">
        <v>450</v>
      </c>
      <c r="B593" s="116"/>
      <c r="C593" s="116"/>
      <c r="D593" s="176" t="e">
        <f t="shared" si="9"/>
        <v>#DIV/0!</v>
      </c>
      <c r="E593" s="116"/>
    </row>
    <row r="594" spans="1:5" ht="19.5" customHeight="1">
      <c r="A594" s="116" t="s">
        <v>451</v>
      </c>
      <c r="B594" s="116"/>
      <c r="C594" s="116"/>
      <c r="D594" s="176" t="e">
        <f t="shared" si="9"/>
        <v>#DIV/0!</v>
      </c>
      <c r="E594" s="116"/>
    </row>
    <row r="595" spans="1:5" ht="19.5" customHeight="1">
      <c r="A595" s="116" t="s">
        <v>452</v>
      </c>
      <c r="B595" s="116"/>
      <c r="C595" s="116"/>
      <c r="D595" s="176" t="e">
        <f t="shared" si="9"/>
        <v>#DIV/0!</v>
      </c>
      <c r="E595" s="116"/>
    </row>
    <row r="596" spans="1:5" ht="19.5" customHeight="1">
      <c r="A596" s="116" t="s">
        <v>453</v>
      </c>
      <c r="B596" s="116"/>
      <c r="C596" s="116"/>
      <c r="D596" s="176" t="e">
        <f t="shared" si="9"/>
        <v>#DIV/0!</v>
      </c>
      <c r="E596" s="116"/>
    </row>
    <row r="597" spans="1:5" ht="19.5" customHeight="1">
      <c r="A597" s="116" t="s">
        <v>454</v>
      </c>
      <c r="B597" s="116"/>
      <c r="C597" s="116"/>
      <c r="D597" s="176" t="e">
        <f t="shared" si="9"/>
        <v>#DIV/0!</v>
      </c>
      <c r="E597" s="116"/>
    </row>
    <row r="598" spans="1:5" ht="19.5" customHeight="1">
      <c r="A598" s="116" t="s">
        <v>455</v>
      </c>
      <c r="B598" s="116"/>
      <c r="C598" s="116"/>
      <c r="D598" s="176" t="e">
        <f t="shared" si="9"/>
        <v>#DIV/0!</v>
      </c>
      <c r="E598" s="116"/>
    </row>
    <row r="599" spans="1:5" ht="19.5" customHeight="1">
      <c r="A599" s="116" t="s">
        <v>456</v>
      </c>
      <c r="B599" s="116"/>
      <c r="C599" s="116"/>
      <c r="D599" s="176" t="e">
        <f t="shared" si="9"/>
        <v>#DIV/0!</v>
      </c>
      <c r="E599" s="116"/>
    </row>
    <row r="600" spans="1:5" ht="19.5" customHeight="1">
      <c r="A600" s="116" t="s">
        <v>457</v>
      </c>
      <c r="B600" s="116">
        <v>805</v>
      </c>
      <c r="C600" s="116">
        <f>1174+38+10</f>
        <v>1222</v>
      </c>
      <c r="D600" s="176">
        <f t="shared" si="9"/>
        <v>151.80124223602485</v>
      </c>
      <c r="E600" s="116"/>
    </row>
    <row r="601" spans="1:5" ht="19.5" customHeight="1">
      <c r="A601" s="116" t="s">
        <v>458</v>
      </c>
      <c r="B601" s="116">
        <f>SUM(B602:B608)</f>
        <v>646</v>
      </c>
      <c r="C601" s="114">
        <f>SUM(C602:C608)</f>
        <v>665</v>
      </c>
      <c r="D601" s="176">
        <f t="shared" si="9"/>
        <v>102.94117647058823</v>
      </c>
      <c r="E601" s="116"/>
    </row>
    <row r="602" spans="1:5" ht="19.5" customHeight="1">
      <c r="A602" s="116" t="s">
        <v>459</v>
      </c>
      <c r="B602" s="116"/>
      <c r="C602" s="116"/>
      <c r="D602" s="176" t="e">
        <f t="shared" si="9"/>
        <v>#DIV/0!</v>
      </c>
      <c r="E602" s="116"/>
    </row>
    <row r="603" spans="1:5" ht="19.5" customHeight="1">
      <c r="A603" s="116" t="s">
        <v>460</v>
      </c>
      <c r="B603" s="116"/>
      <c r="C603" s="116"/>
      <c r="D603" s="176" t="e">
        <f t="shared" si="9"/>
        <v>#DIV/0!</v>
      </c>
      <c r="E603" s="116"/>
    </row>
    <row r="604" spans="1:5" ht="19.5" customHeight="1">
      <c r="A604" s="116" t="s">
        <v>461</v>
      </c>
      <c r="B604" s="116"/>
      <c r="C604" s="116"/>
      <c r="D604" s="176" t="e">
        <f t="shared" si="9"/>
        <v>#DIV/0!</v>
      </c>
      <c r="E604" s="116"/>
    </row>
    <row r="605" spans="1:5" ht="19.5" customHeight="1">
      <c r="A605" s="116" t="s">
        <v>462</v>
      </c>
      <c r="B605" s="116">
        <v>110</v>
      </c>
      <c r="C605" s="116">
        <v>106</v>
      </c>
      <c r="D605" s="176">
        <f t="shared" si="9"/>
        <v>96.36363636363636</v>
      </c>
      <c r="E605" s="116"/>
    </row>
    <row r="606" spans="1:5" ht="19.5" customHeight="1">
      <c r="A606" s="116" t="s">
        <v>463</v>
      </c>
      <c r="B606" s="116"/>
      <c r="C606" s="116"/>
      <c r="D606" s="176" t="e">
        <f t="shared" si="9"/>
        <v>#DIV/0!</v>
      </c>
      <c r="E606" s="116"/>
    </row>
    <row r="607" spans="1:5" ht="19.5" customHeight="1">
      <c r="A607" s="116" t="s">
        <v>464</v>
      </c>
      <c r="B607" s="116"/>
      <c r="C607" s="116"/>
      <c r="D607" s="176" t="e">
        <f t="shared" si="9"/>
        <v>#DIV/0!</v>
      </c>
      <c r="E607" s="116"/>
    </row>
    <row r="608" spans="1:5" ht="19.5" customHeight="1">
      <c r="A608" s="116" t="s">
        <v>465</v>
      </c>
      <c r="B608" s="116">
        <v>536</v>
      </c>
      <c r="C608" s="116">
        <f>210+101+248</f>
        <v>559</v>
      </c>
      <c r="D608" s="176">
        <f t="shared" si="9"/>
        <v>104.2910447761194</v>
      </c>
      <c r="E608" s="116"/>
    </row>
    <row r="609" spans="1:5" ht="19.5" customHeight="1">
      <c r="A609" s="116" t="s">
        <v>466</v>
      </c>
      <c r="B609" s="116">
        <f>SUM(B610:B614)</f>
        <v>72</v>
      </c>
      <c r="C609" s="114">
        <f>SUM(C610:C614)</f>
        <v>75</v>
      </c>
      <c r="D609" s="176">
        <f t="shared" si="9"/>
        <v>104.16666666666667</v>
      </c>
      <c r="E609" s="116"/>
    </row>
    <row r="610" spans="1:5" ht="19.5" customHeight="1">
      <c r="A610" s="116" t="s">
        <v>467</v>
      </c>
      <c r="B610" s="116">
        <v>30</v>
      </c>
      <c r="C610" s="116">
        <v>20</v>
      </c>
      <c r="D610" s="176">
        <f t="shared" si="9"/>
        <v>66.66666666666666</v>
      </c>
      <c r="E610" s="116"/>
    </row>
    <row r="611" spans="1:5" ht="19.5" customHeight="1">
      <c r="A611" s="116" t="s">
        <v>468</v>
      </c>
      <c r="B611" s="116">
        <v>25</v>
      </c>
      <c r="C611" s="116">
        <v>7</v>
      </c>
      <c r="D611" s="176">
        <f t="shared" si="9"/>
        <v>28.000000000000004</v>
      </c>
      <c r="E611" s="116"/>
    </row>
    <row r="612" spans="1:5" ht="19.5" customHeight="1">
      <c r="A612" s="116" t="s">
        <v>469</v>
      </c>
      <c r="B612" s="116"/>
      <c r="C612" s="116"/>
      <c r="D612" s="176" t="e">
        <f t="shared" si="9"/>
        <v>#DIV/0!</v>
      </c>
      <c r="E612" s="116"/>
    </row>
    <row r="613" spans="1:5" ht="19.5" customHeight="1">
      <c r="A613" s="116" t="s">
        <v>470</v>
      </c>
      <c r="B613" s="116"/>
      <c r="C613" s="116"/>
      <c r="D613" s="176" t="e">
        <f t="shared" si="9"/>
        <v>#DIV/0!</v>
      </c>
      <c r="E613" s="116"/>
    </row>
    <row r="614" spans="1:5" ht="19.5" customHeight="1">
      <c r="A614" s="116" t="s">
        <v>471</v>
      </c>
      <c r="B614" s="116">
        <v>17</v>
      </c>
      <c r="C614" s="116">
        <f>48</f>
        <v>48</v>
      </c>
      <c r="D614" s="176">
        <f t="shared" si="9"/>
        <v>282.3529411764706</v>
      </c>
      <c r="E614" s="116"/>
    </row>
    <row r="615" spans="1:5" ht="19.5" customHeight="1">
      <c r="A615" s="116" t="s">
        <v>472</v>
      </c>
      <c r="B615" s="116">
        <f>SUM(B616:B621)</f>
        <v>53</v>
      </c>
      <c r="C615" s="114">
        <f>SUM(C616:C621)</f>
        <v>16</v>
      </c>
      <c r="D615" s="176">
        <f t="shared" si="9"/>
        <v>30.18867924528302</v>
      </c>
      <c r="E615" s="116"/>
    </row>
    <row r="616" spans="1:5" ht="19.5" customHeight="1">
      <c r="A616" s="116" t="s">
        <v>473</v>
      </c>
      <c r="B616" s="116">
        <v>23</v>
      </c>
      <c r="C616" s="116">
        <f>13+3</f>
        <v>16</v>
      </c>
      <c r="D616" s="176">
        <f t="shared" si="9"/>
        <v>69.56521739130434</v>
      </c>
      <c r="E616" s="116"/>
    </row>
    <row r="617" spans="1:5" ht="19.5" customHeight="1">
      <c r="A617" s="116" t="s">
        <v>474</v>
      </c>
      <c r="B617" s="116">
        <v>30</v>
      </c>
      <c r="C617" s="116"/>
      <c r="D617" s="176">
        <f t="shared" si="9"/>
        <v>0</v>
      </c>
      <c r="E617" s="116"/>
    </row>
    <row r="618" spans="1:5" ht="19.5" customHeight="1">
      <c r="A618" s="116" t="s">
        <v>475</v>
      </c>
      <c r="B618" s="116"/>
      <c r="C618" s="116"/>
      <c r="D618" s="176" t="e">
        <f t="shared" si="9"/>
        <v>#DIV/0!</v>
      </c>
      <c r="E618" s="116"/>
    </row>
    <row r="619" spans="1:5" ht="19.5" customHeight="1">
      <c r="A619" s="116" t="s">
        <v>476</v>
      </c>
      <c r="B619" s="116"/>
      <c r="C619" s="116"/>
      <c r="D619" s="176" t="e">
        <f t="shared" si="9"/>
        <v>#DIV/0!</v>
      </c>
      <c r="E619" s="116"/>
    </row>
    <row r="620" spans="1:5" ht="19.5" customHeight="1">
      <c r="A620" s="116" t="s">
        <v>477</v>
      </c>
      <c r="B620" s="116"/>
      <c r="C620" s="116"/>
      <c r="D620" s="176" t="e">
        <f t="shared" si="9"/>
        <v>#DIV/0!</v>
      </c>
      <c r="E620" s="116"/>
    </row>
    <row r="621" spans="1:5" ht="19.5" customHeight="1">
      <c r="A621" s="116" t="s">
        <v>478</v>
      </c>
      <c r="B621" s="116"/>
      <c r="C621" s="116"/>
      <c r="D621" s="176" t="e">
        <f t="shared" si="9"/>
        <v>#DIV/0!</v>
      </c>
      <c r="E621" s="116"/>
    </row>
    <row r="622" spans="1:5" ht="19.5" customHeight="1">
      <c r="A622" s="116" t="s">
        <v>479</v>
      </c>
      <c r="B622" s="116">
        <f>SUM(B623:B630)</f>
        <v>295</v>
      </c>
      <c r="C622" s="114">
        <f>SUM(C623:C630)</f>
        <v>237</v>
      </c>
      <c r="D622" s="176">
        <f t="shared" si="9"/>
        <v>80.33898305084746</v>
      </c>
      <c r="E622" s="116"/>
    </row>
    <row r="623" spans="1:5" ht="19.5" customHeight="1">
      <c r="A623" s="116" t="s">
        <v>39</v>
      </c>
      <c r="B623" s="116">
        <v>72</v>
      </c>
      <c r="C623" s="116">
        <f>69</f>
        <v>69</v>
      </c>
      <c r="D623" s="176">
        <f t="shared" si="9"/>
        <v>95.83333333333334</v>
      </c>
      <c r="E623" s="116"/>
    </row>
    <row r="624" spans="1:5" ht="19.5" customHeight="1">
      <c r="A624" s="116" t="s">
        <v>40</v>
      </c>
      <c r="B624" s="116"/>
      <c r="C624" s="116"/>
      <c r="D624" s="176" t="e">
        <f t="shared" si="9"/>
        <v>#DIV/0!</v>
      </c>
      <c r="E624" s="116"/>
    </row>
    <row r="625" spans="1:5" ht="19.5" customHeight="1">
      <c r="A625" s="116" t="s">
        <v>41</v>
      </c>
      <c r="B625" s="116"/>
      <c r="C625" s="116"/>
      <c r="D625" s="176" t="e">
        <f t="shared" si="9"/>
        <v>#DIV/0!</v>
      </c>
      <c r="E625" s="116"/>
    </row>
    <row r="626" spans="1:5" ht="19.5" customHeight="1">
      <c r="A626" s="116" t="s">
        <v>480</v>
      </c>
      <c r="B626" s="116">
        <v>9</v>
      </c>
      <c r="C626" s="116">
        <f>5</f>
        <v>5</v>
      </c>
      <c r="D626" s="176">
        <f t="shared" si="9"/>
        <v>55.55555555555556</v>
      </c>
      <c r="E626" s="116"/>
    </row>
    <row r="627" spans="1:5" ht="19.5" customHeight="1">
      <c r="A627" s="116" t="s">
        <v>481</v>
      </c>
      <c r="B627" s="116">
        <v>19</v>
      </c>
      <c r="C627" s="116">
        <f>2+2</f>
        <v>4</v>
      </c>
      <c r="D627" s="176">
        <f t="shared" si="9"/>
        <v>21.052631578947366</v>
      </c>
      <c r="E627" s="116"/>
    </row>
    <row r="628" spans="1:5" ht="19.5" customHeight="1">
      <c r="A628" s="116" t="s">
        <v>482</v>
      </c>
      <c r="B628" s="116">
        <v>1</v>
      </c>
      <c r="C628" s="116"/>
      <c r="D628" s="176">
        <f t="shared" si="9"/>
        <v>0</v>
      </c>
      <c r="E628" s="116"/>
    </row>
    <row r="629" spans="1:5" s="172" customFormat="1" ht="19.5" customHeight="1">
      <c r="A629" s="116" t="s">
        <v>483</v>
      </c>
      <c r="B629" s="181"/>
      <c r="C629" s="181">
        <v>29</v>
      </c>
      <c r="D629" s="176" t="e">
        <f t="shared" si="9"/>
        <v>#DIV/0!</v>
      </c>
      <c r="E629" s="181"/>
    </row>
    <row r="630" spans="1:5" ht="19.5" customHeight="1">
      <c r="A630" s="116" t="s">
        <v>484</v>
      </c>
      <c r="B630" s="116">
        <v>194</v>
      </c>
      <c r="C630" s="116">
        <f>18+112</f>
        <v>130</v>
      </c>
      <c r="D630" s="176">
        <f t="shared" si="9"/>
        <v>67.0103092783505</v>
      </c>
      <c r="E630" s="116"/>
    </row>
    <row r="631" spans="1:5" ht="19.5" customHeight="1">
      <c r="A631" s="116" t="s">
        <v>485</v>
      </c>
      <c r="B631" s="116">
        <f>SUM(B632:B635)</f>
        <v>280</v>
      </c>
      <c r="C631" s="114">
        <f>SUM(C632:C635)</f>
        <v>280</v>
      </c>
      <c r="D631" s="176">
        <f t="shared" si="9"/>
        <v>100</v>
      </c>
      <c r="E631" s="116"/>
    </row>
    <row r="632" spans="1:5" ht="19.5" customHeight="1">
      <c r="A632" s="116" t="s">
        <v>486</v>
      </c>
      <c r="B632" s="116">
        <v>270</v>
      </c>
      <c r="C632" s="116">
        <f>262</f>
        <v>262</v>
      </c>
      <c r="D632" s="176">
        <f t="shared" si="9"/>
        <v>97.03703703703704</v>
      </c>
      <c r="E632" s="116"/>
    </row>
    <row r="633" spans="1:5" ht="19.5" customHeight="1">
      <c r="A633" s="116" t="s">
        <v>487</v>
      </c>
      <c r="B633" s="116">
        <v>10</v>
      </c>
      <c r="C633" s="116">
        <f>8+10</f>
        <v>18</v>
      </c>
      <c r="D633" s="176">
        <f t="shared" si="9"/>
        <v>180</v>
      </c>
      <c r="E633" s="116"/>
    </row>
    <row r="634" spans="1:5" ht="19.5" customHeight="1">
      <c r="A634" s="116" t="s">
        <v>488</v>
      </c>
      <c r="B634" s="116"/>
      <c r="C634" s="116"/>
      <c r="D634" s="176" t="e">
        <f t="shared" si="9"/>
        <v>#DIV/0!</v>
      </c>
      <c r="E634" s="116"/>
    </row>
    <row r="635" spans="1:5" ht="19.5" customHeight="1">
      <c r="A635" s="116" t="s">
        <v>489</v>
      </c>
      <c r="B635" s="116"/>
      <c r="C635" s="116"/>
      <c r="D635" s="176" t="e">
        <f t="shared" si="9"/>
        <v>#DIV/0!</v>
      </c>
      <c r="E635" s="116"/>
    </row>
    <row r="636" spans="1:5" ht="19.5" customHeight="1">
      <c r="A636" s="116" t="s">
        <v>490</v>
      </c>
      <c r="B636" s="116">
        <f>SUM(B637:B640)</f>
        <v>61</v>
      </c>
      <c r="C636" s="114">
        <f>SUM(C637:C640)</f>
        <v>61</v>
      </c>
      <c r="D636" s="176">
        <f t="shared" si="9"/>
        <v>100</v>
      </c>
      <c r="E636" s="116"/>
    </row>
    <row r="637" spans="1:5" ht="19.5" customHeight="1">
      <c r="A637" s="116" t="s">
        <v>39</v>
      </c>
      <c r="B637" s="116">
        <v>58</v>
      </c>
      <c r="C637" s="116">
        <f>58</f>
        <v>58</v>
      </c>
      <c r="D637" s="176">
        <f t="shared" si="9"/>
        <v>100</v>
      </c>
      <c r="E637" s="116"/>
    </row>
    <row r="638" spans="1:5" ht="19.5" customHeight="1">
      <c r="A638" s="116" t="s">
        <v>40</v>
      </c>
      <c r="B638" s="116"/>
      <c r="C638" s="116"/>
      <c r="D638" s="176" t="e">
        <f t="shared" si="9"/>
        <v>#DIV/0!</v>
      </c>
      <c r="E638" s="116"/>
    </row>
    <row r="639" spans="1:5" ht="19.5" customHeight="1">
      <c r="A639" s="116" t="s">
        <v>41</v>
      </c>
      <c r="B639" s="116"/>
      <c r="C639" s="116"/>
      <c r="D639" s="176" t="e">
        <f t="shared" si="9"/>
        <v>#DIV/0!</v>
      </c>
      <c r="E639" s="116"/>
    </row>
    <row r="640" spans="1:5" ht="19.5" customHeight="1">
      <c r="A640" s="116" t="s">
        <v>491</v>
      </c>
      <c r="B640" s="116">
        <v>3</v>
      </c>
      <c r="C640" s="116">
        <v>3</v>
      </c>
      <c r="D640" s="176">
        <f t="shared" si="9"/>
        <v>100</v>
      </c>
      <c r="E640" s="116"/>
    </row>
    <row r="641" spans="1:5" ht="19.5" customHeight="1">
      <c r="A641" s="116" t="s">
        <v>492</v>
      </c>
      <c r="B641" s="116">
        <f>SUM(B642:B643)</f>
        <v>2179</v>
      </c>
      <c r="C641" s="114">
        <f>SUM(C642:C643)</f>
        <v>280</v>
      </c>
      <c r="D641" s="176">
        <f t="shared" si="9"/>
        <v>12.849931161083067</v>
      </c>
      <c r="E641" s="116"/>
    </row>
    <row r="642" spans="1:5" ht="19.5" customHeight="1">
      <c r="A642" s="116" t="s">
        <v>493</v>
      </c>
      <c r="B642" s="116">
        <v>2099</v>
      </c>
      <c r="C642" s="116">
        <f>280</f>
        <v>280</v>
      </c>
      <c r="D642" s="176">
        <f t="shared" si="9"/>
        <v>13.339685564554548</v>
      </c>
      <c r="E642" s="116"/>
    </row>
    <row r="643" spans="1:5" ht="19.5" customHeight="1">
      <c r="A643" s="116" t="s">
        <v>494</v>
      </c>
      <c r="B643" s="116">
        <v>80</v>
      </c>
      <c r="C643" s="116"/>
      <c r="D643" s="176">
        <f t="shared" si="9"/>
        <v>0</v>
      </c>
      <c r="E643" s="116"/>
    </row>
    <row r="644" spans="1:5" ht="19.5" customHeight="1">
      <c r="A644" s="116" t="s">
        <v>495</v>
      </c>
      <c r="B644" s="116">
        <f>SUM(B645:B646)</f>
        <v>52</v>
      </c>
      <c r="C644" s="114">
        <f>SUM(C645:C646)</f>
        <v>15</v>
      </c>
      <c r="D644" s="176">
        <f t="shared" si="9"/>
        <v>28.846153846153843</v>
      </c>
      <c r="E644" s="116"/>
    </row>
    <row r="645" spans="1:5" ht="19.5" customHeight="1">
      <c r="A645" s="116" t="s">
        <v>496</v>
      </c>
      <c r="B645" s="116">
        <v>41</v>
      </c>
      <c r="C645" s="116">
        <f>10</f>
        <v>10</v>
      </c>
      <c r="D645" s="176">
        <f aca="true" t="shared" si="10" ref="D645:D708">C645/B645*100</f>
        <v>24.390243902439025</v>
      </c>
      <c r="E645" s="116"/>
    </row>
    <row r="646" spans="1:5" ht="19.5" customHeight="1">
      <c r="A646" s="116" t="s">
        <v>497</v>
      </c>
      <c r="B646" s="116">
        <v>11</v>
      </c>
      <c r="C646" s="116">
        <v>5</v>
      </c>
      <c r="D646" s="176">
        <f t="shared" si="10"/>
        <v>45.45454545454545</v>
      </c>
      <c r="E646" s="116"/>
    </row>
    <row r="647" spans="1:5" s="172" customFormat="1" ht="19.5" customHeight="1">
      <c r="A647" s="116" t="s">
        <v>498</v>
      </c>
      <c r="B647" s="181">
        <f>SUM(B648:B649)</f>
        <v>205</v>
      </c>
      <c r="C647" s="182">
        <f>SUM(C648:C649)</f>
        <v>185</v>
      </c>
      <c r="D647" s="176">
        <f t="shared" si="10"/>
        <v>90.2439024390244</v>
      </c>
      <c r="E647" s="181"/>
    </row>
    <row r="648" spans="1:5" s="172" customFormat="1" ht="19.5" customHeight="1">
      <c r="A648" s="116" t="s">
        <v>499</v>
      </c>
      <c r="B648" s="181"/>
      <c r="C648" s="181"/>
      <c r="D648" s="176" t="e">
        <f t="shared" si="10"/>
        <v>#DIV/0!</v>
      </c>
      <c r="E648" s="181"/>
    </row>
    <row r="649" spans="1:5" s="172" customFormat="1" ht="19.5" customHeight="1">
      <c r="A649" s="116" t="s">
        <v>500</v>
      </c>
      <c r="B649" s="181">
        <v>205</v>
      </c>
      <c r="C649" s="181">
        <f>185</f>
        <v>185</v>
      </c>
      <c r="D649" s="176">
        <f t="shared" si="10"/>
        <v>90.2439024390244</v>
      </c>
      <c r="E649" s="181"/>
    </row>
    <row r="650" spans="1:5" ht="19.5" customHeight="1">
      <c r="A650" s="116" t="s">
        <v>501</v>
      </c>
      <c r="B650" s="116">
        <f>SUM(B651:B652)</f>
        <v>0</v>
      </c>
      <c r="C650" s="114">
        <f>SUM(C651:C652)</f>
        <v>0</v>
      </c>
      <c r="D650" s="176" t="e">
        <f t="shared" si="10"/>
        <v>#DIV/0!</v>
      </c>
      <c r="E650" s="116"/>
    </row>
    <row r="651" spans="1:5" ht="19.5" customHeight="1">
      <c r="A651" s="116" t="s">
        <v>502</v>
      </c>
      <c r="B651" s="116"/>
      <c r="C651" s="116"/>
      <c r="D651" s="176" t="e">
        <f t="shared" si="10"/>
        <v>#DIV/0!</v>
      </c>
      <c r="E651" s="116"/>
    </row>
    <row r="652" spans="1:5" ht="19.5" customHeight="1">
      <c r="A652" s="116" t="s">
        <v>503</v>
      </c>
      <c r="B652" s="116"/>
      <c r="C652" s="116"/>
      <c r="D652" s="176" t="e">
        <f t="shared" si="10"/>
        <v>#DIV/0!</v>
      </c>
      <c r="E652" s="116"/>
    </row>
    <row r="653" spans="1:5" ht="19.5" customHeight="1">
      <c r="A653" s="116" t="s">
        <v>504</v>
      </c>
      <c r="B653" s="116">
        <f>SUM(B654:B655)</f>
        <v>18</v>
      </c>
      <c r="C653" s="114">
        <f>SUM(C654:C655)</f>
        <v>28</v>
      </c>
      <c r="D653" s="176">
        <f t="shared" si="10"/>
        <v>155.55555555555557</v>
      </c>
      <c r="E653" s="116"/>
    </row>
    <row r="654" spans="1:5" ht="19.5" customHeight="1">
      <c r="A654" s="116" t="s">
        <v>505</v>
      </c>
      <c r="B654" s="116"/>
      <c r="C654" s="116"/>
      <c r="D654" s="176" t="e">
        <f t="shared" si="10"/>
        <v>#DIV/0!</v>
      </c>
      <c r="E654" s="116"/>
    </row>
    <row r="655" spans="1:5" ht="19.5" customHeight="1">
      <c r="A655" s="116" t="s">
        <v>506</v>
      </c>
      <c r="B655" s="116">
        <v>18</v>
      </c>
      <c r="C655" s="116">
        <f>28</f>
        <v>28</v>
      </c>
      <c r="D655" s="176">
        <f t="shared" si="10"/>
        <v>155.55555555555557</v>
      </c>
      <c r="E655" s="116"/>
    </row>
    <row r="656" spans="1:5" s="172" customFormat="1" ht="19.5" customHeight="1">
      <c r="A656" s="116" t="s">
        <v>507</v>
      </c>
      <c r="B656" s="181">
        <f>SUM(B657:B659)</f>
        <v>1379</v>
      </c>
      <c r="C656" s="182">
        <f>SUM(C657:C659)</f>
        <v>1351</v>
      </c>
      <c r="D656" s="176">
        <f t="shared" si="10"/>
        <v>97.96954314720813</v>
      </c>
      <c r="E656" s="181"/>
    </row>
    <row r="657" spans="1:5" s="172" customFormat="1" ht="19.5" customHeight="1">
      <c r="A657" s="116" t="s">
        <v>508</v>
      </c>
      <c r="B657" s="181"/>
      <c r="C657" s="181">
        <f>56</f>
        <v>56</v>
      </c>
      <c r="D657" s="176" t="e">
        <f t="shared" si="10"/>
        <v>#DIV/0!</v>
      </c>
      <c r="E657" s="181"/>
    </row>
    <row r="658" spans="1:5" s="172" customFormat="1" ht="19.5" customHeight="1">
      <c r="A658" s="116" t="s">
        <v>509</v>
      </c>
      <c r="B658" s="181">
        <v>1284</v>
      </c>
      <c r="C658" s="181">
        <f>218+1077</f>
        <v>1295</v>
      </c>
      <c r="D658" s="176">
        <f t="shared" si="10"/>
        <v>100.85669781931463</v>
      </c>
      <c r="E658" s="181"/>
    </row>
    <row r="659" spans="1:5" s="172" customFormat="1" ht="19.5" customHeight="1">
      <c r="A659" s="116" t="s">
        <v>510</v>
      </c>
      <c r="B659" s="181">
        <v>95</v>
      </c>
      <c r="C659" s="181"/>
      <c r="D659" s="176">
        <f t="shared" si="10"/>
        <v>0</v>
      </c>
      <c r="E659" s="181"/>
    </row>
    <row r="660" spans="1:5" s="172" customFormat="1" ht="19.5" customHeight="1">
      <c r="A660" s="116" t="s">
        <v>511</v>
      </c>
      <c r="B660" s="181">
        <f>SUM(B661:B664)</f>
        <v>296</v>
      </c>
      <c r="C660" s="182">
        <f>SUM(C661:C664)</f>
        <v>290</v>
      </c>
      <c r="D660" s="176">
        <f t="shared" si="10"/>
        <v>97.97297297297297</v>
      </c>
      <c r="E660" s="181"/>
    </row>
    <row r="661" spans="1:5" s="172" customFormat="1" ht="19.5" customHeight="1">
      <c r="A661" s="116" t="s">
        <v>512</v>
      </c>
      <c r="B661" s="181">
        <v>150</v>
      </c>
      <c r="C661" s="181">
        <f>200</f>
        <v>200</v>
      </c>
      <c r="D661" s="176">
        <f t="shared" si="10"/>
        <v>133.33333333333331</v>
      </c>
      <c r="E661" s="181"/>
    </row>
    <row r="662" spans="1:5" s="172" customFormat="1" ht="19.5" customHeight="1">
      <c r="A662" s="116" t="s">
        <v>513</v>
      </c>
      <c r="B662" s="181">
        <v>86</v>
      </c>
      <c r="C662" s="181">
        <v>90</v>
      </c>
      <c r="D662" s="176">
        <f t="shared" si="10"/>
        <v>104.65116279069768</v>
      </c>
      <c r="E662" s="181"/>
    </row>
    <row r="663" spans="1:5" s="172" customFormat="1" ht="19.5" customHeight="1">
      <c r="A663" s="116" t="s">
        <v>514</v>
      </c>
      <c r="B663" s="181">
        <v>60</v>
      </c>
      <c r="C663" s="181"/>
      <c r="D663" s="176">
        <f t="shared" si="10"/>
        <v>0</v>
      </c>
      <c r="E663" s="181"/>
    </row>
    <row r="664" spans="1:5" s="172" customFormat="1" ht="19.5" customHeight="1">
      <c r="A664" s="116" t="s">
        <v>515</v>
      </c>
      <c r="B664" s="181"/>
      <c r="C664" s="181"/>
      <c r="D664" s="176" t="e">
        <f t="shared" si="10"/>
        <v>#DIV/0!</v>
      </c>
      <c r="E664" s="181"/>
    </row>
    <row r="665" spans="1:5" ht="19.5" customHeight="1">
      <c r="A665" s="116" t="s">
        <v>516</v>
      </c>
      <c r="B665" s="116">
        <v>1406</v>
      </c>
      <c r="C665" s="116">
        <v>2063</v>
      </c>
      <c r="D665" s="176">
        <f t="shared" si="10"/>
        <v>146.72830725462305</v>
      </c>
      <c r="E665" s="116"/>
    </row>
    <row r="666" spans="1:5" ht="19.5" customHeight="1">
      <c r="A666" s="116" t="s">
        <v>517</v>
      </c>
      <c r="B666" s="116">
        <f>SUM(B667,B672,B685,B689,B701,B704,B708,B718,B723,B729,B733,B736)</f>
        <v>11784</v>
      </c>
      <c r="C666" s="114">
        <f>C667+C672+C685+C689+C701+C704+C708+C718+C723+C729+C733+C736</f>
        <v>9618</v>
      </c>
      <c r="D666" s="176">
        <f t="shared" si="10"/>
        <v>81.61914460285132</v>
      </c>
      <c r="E666" s="116"/>
    </row>
    <row r="667" spans="1:5" ht="19.5" customHeight="1">
      <c r="A667" s="116" t="s">
        <v>518</v>
      </c>
      <c r="B667" s="116">
        <f>SUM(B668:B671)</f>
        <v>441</v>
      </c>
      <c r="C667" s="114">
        <f>SUM(C668:C671)</f>
        <v>437</v>
      </c>
      <c r="D667" s="176">
        <f t="shared" si="10"/>
        <v>99.09297052154194</v>
      </c>
      <c r="E667" s="116"/>
    </row>
    <row r="668" spans="1:5" ht="19.5" customHeight="1">
      <c r="A668" s="116" t="s">
        <v>39</v>
      </c>
      <c r="B668" s="116">
        <v>431</v>
      </c>
      <c r="C668" s="116">
        <f>435</f>
        <v>435</v>
      </c>
      <c r="D668" s="176">
        <f t="shared" si="10"/>
        <v>100.92807424593968</v>
      </c>
      <c r="E668" s="116"/>
    </row>
    <row r="669" spans="1:5" ht="19.5" customHeight="1">
      <c r="A669" s="116" t="s">
        <v>40</v>
      </c>
      <c r="B669" s="116"/>
      <c r="C669" s="116">
        <f>2</f>
        <v>2</v>
      </c>
      <c r="D669" s="176" t="e">
        <f t="shared" si="10"/>
        <v>#DIV/0!</v>
      </c>
      <c r="E669" s="116"/>
    </row>
    <row r="670" spans="1:5" ht="19.5" customHeight="1">
      <c r="A670" s="116" t="s">
        <v>41</v>
      </c>
      <c r="B670" s="116"/>
      <c r="C670" s="116"/>
      <c r="D670" s="176" t="e">
        <f t="shared" si="10"/>
        <v>#DIV/0!</v>
      </c>
      <c r="E670" s="116"/>
    </row>
    <row r="671" spans="1:5" ht="19.5" customHeight="1">
      <c r="A671" s="116" t="s">
        <v>519</v>
      </c>
      <c r="B671" s="116">
        <v>10</v>
      </c>
      <c r="C671" s="116"/>
      <c r="D671" s="176">
        <f t="shared" si="10"/>
        <v>0</v>
      </c>
      <c r="E671" s="116"/>
    </row>
    <row r="672" spans="1:5" ht="19.5" customHeight="1">
      <c r="A672" s="116" t="s">
        <v>520</v>
      </c>
      <c r="B672" s="116">
        <f>SUM(B673:B684)</f>
        <v>2807</v>
      </c>
      <c r="C672" s="114">
        <f>SUM(C673:C684)</f>
        <v>2007</v>
      </c>
      <c r="D672" s="176">
        <f t="shared" si="10"/>
        <v>71.49982187388672</v>
      </c>
      <c r="E672" s="116"/>
    </row>
    <row r="673" spans="1:5" ht="19.5" customHeight="1">
      <c r="A673" s="116" t="s">
        <v>521</v>
      </c>
      <c r="B673" s="116">
        <v>1031</v>
      </c>
      <c r="C673" s="116">
        <f>1176</f>
        <v>1176</v>
      </c>
      <c r="D673" s="176">
        <f t="shared" si="10"/>
        <v>114.06401551891368</v>
      </c>
      <c r="E673" s="116"/>
    </row>
    <row r="674" spans="1:5" ht="19.5" customHeight="1">
      <c r="A674" s="116" t="s">
        <v>522</v>
      </c>
      <c r="B674" s="116">
        <v>190</v>
      </c>
      <c r="C674" s="116">
        <f>217</f>
        <v>217</v>
      </c>
      <c r="D674" s="176">
        <f t="shared" si="10"/>
        <v>114.21052631578948</v>
      </c>
      <c r="E674" s="116"/>
    </row>
    <row r="675" spans="1:5" ht="19.5" customHeight="1">
      <c r="A675" s="116" t="s">
        <v>523</v>
      </c>
      <c r="B675" s="116"/>
      <c r="C675" s="116"/>
      <c r="D675" s="176" t="e">
        <f t="shared" si="10"/>
        <v>#DIV/0!</v>
      </c>
      <c r="E675" s="116"/>
    </row>
    <row r="676" spans="1:5" ht="19.5" customHeight="1">
      <c r="A676" s="116" t="s">
        <v>524</v>
      </c>
      <c r="B676" s="116"/>
      <c r="C676" s="116"/>
      <c r="D676" s="176" t="e">
        <f t="shared" si="10"/>
        <v>#DIV/0!</v>
      </c>
      <c r="E676" s="116"/>
    </row>
    <row r="677" spans="1:5" ht="19.5" customHeight="1">
      <c r="A677" s="116" t="s">
        <v>525</v>
      </c>
      <c r="B677" s="116"/>
      <c r="C677" s="116"/>
      <c r="D677" s="176" t="e">
        <f t="shared" si="10"/>
        <v>#DIV/0!</v>
      </c>
      <c r="E677" s="116"/>
    </row>
    <row r="678" spans="1:5" ht="19.5" customHeight="1">
      <c r="A678" s="116" t="s">
        <v>526</v>
      </c>
      <c r="B678" s="116"/>
      <c r="C678" s="116"/>
      <c r="D678" s="176" t="e">
        <f t="shared" si="10"/>
        <v>#DIV/0!</v>
      </c>
      <c r="E678" s="116"/>
    </row>
    <row r="679" spans="1:5" ht="19.5" customHeight="1">
      <c r="A679" s="116" t="s">
        <v>527</v>
      </c>
      <c r="B679" s="116"/>
      <c r="C679" s="116"/>
      <c r="D679" s="176" t="e">
        <f t="shared" si="10"/>
        <v>#DIV/0!</v>
      </c>
      <c r="E679" s="116"/>
    </row>
    <row r="680" spans="1:5" ht="19.5" customHeight="1">
      <c r="A680" s="116" t="s">
        <v>528</v>
      </c>
      <c r="B680" s="116"/>
      <c r="C680" s="116"/>
      <c r="D680" s="176" t="e">
        <f t="shared" si="10"/>
        <v>#DIV/0!</v>
      </c>
      <c r="E680" s="116"/>
    </row>
    <row r="681" spans="1:5" ht="19.5" customHeight="1">
      <c r="A681" s="116" t="s">
        <v>529</v>
      </c>
      <c r="B681" s="116"/>
      <c r="C681" s="116"/>
      <c r="D681" s="176" t="e">
        <f t="shared" si="10"/>
        <v>#DIV/0!</v>
      </c>
      <c r="E681" s="116"/>
    </row>
    <row r="682" spans="1:5" ht="19.5" customHeight="1">
      <c r="A682" s="116" t="s">
        <v>530</v>
      </c>
      <c r="B682" s="116"/>
      <c r="C682" s="116"/>
      <c r="D682" s="176" t="e">
        <f t="shared" si="10"/>
        <v>#DIV/0!</v>
      </c>
      <c r="E682" s="116"/>
    </row>
    <row r="683" spans="1:5" ht="19.5" customHeight="1">
      <c r="A683" s="116" t="s">
        <v>531</v>
      </c>
      <c r="B683" s="116"/>
      <c r="C683" s="116"/>
      <c r="D683" s="176" t="e">
        <f t="shared" si="10"/>
        <v>#DIV/0!</v>
      </c>
      <c r="E683" s="116"/>
    </row>
    <row r="684" spans="1:5" ht="19.5" customHeight="1">
      <c r="A684" s="116" t="s">
        <v>532</v>
      </c>
      <c r="B684" s="116">
        <v>1586</v>
      </c>
      <c r="C684" s="116">
        <f>318+36+260</f>
        <v>614</v>
      </c>
      <c r="D684" s="176">
        <f t="shared" si="10"/>
        <v>38.71374527112232</v>
      </c>
      <c r="E684" s="116"/>
    </row>
    <row r="685" spans="1:5" ht="19.5" customHeight="1">
      <c r="A685" s="116" t="s">
        <v>533</v>
      </c>
      <c r="B685" s="116">
        <f>SUM(B686:B688)</f>
        <v>779</v>
      </c>
      <c r="C685" s="114">
        <f>SUM(C687:C688)</f>
        <v>718</v>
      </c>
      <c r="D685" s="176">
        <f t="shared" si="10"/>
        <v>92.16944801026958</v>
      </c>
      <c r="E685" s="116"/>
    </row>
    <row r="686" spans="1:5" ht="19.5" customHeight="1">
      <c r="A686" s="116" t="s">
        <v>534</v>
      </c>
      <c r="B686" s="116"/>
      <c r="D686" s="176" t="e">
        <f t="shared" si="10"/>
        <v>#DIV/0!</v>
      </c>
      <c r="E686" s="116"/>
    </row>
    <row r="687" spans="1:5" ht="19.5" customHeight="1">
      <c r="A687" s="116" t="s">
        <v>535</v>
      </c>
      <c r="B687" s="116">
        <v>493</v>
      </c>
      <c r="C687" s="116">
        <f>589</f>
        <v>589</v>
      </c>
      <c r="D687" s="176">
        <f t="shared" si="10"/>
        <v>119.47261663286004</v>
      </c>
      <c r="E687" s="116"/>
    </row>
    <row r="688" spans="1:5" ht="19.5" customHeight="1">
      <c r="A688" s="116" t="s">
        <v>536</v>
      </c>
      <c r="B688" s="116">
        <v>286</v>
      </c>
      <c r="C688" s="116">
        <f>17+55+57</f>
        <v>129</v>
      </c>
      <c r="D688" s="176">
        <f t="shared" si="10"/>
        <v>45.10489510489511</v>
      </c>
      <c r="E688" s="116"/>
    </row>
    <row r="689" spans="1:5" ht="19.5" customHeight="1">
      <c r="A689" s="116" t="s">
        <v>537</v>
      </c>
      <c r="B689" s="116">
        <f>SUM(B690:B700)</f>
        <v>1660</v>
      </c>
      <c r="C689" s="114">
        <f>SUM(C690:C700)</f>
        <v>1150</v>
      </c>
      <c r="D689" s="176">
        <f t="shared" si="10"/>
        <v>69.27710843373494</v>
      </c>
      <c r="E689" s="116"/>
    </row>
    <row r="690" spans="1:5" ht="19.5" customHeight="1">
      <c r="A690" s="116" t="s">
        <v>538</v>
      </c>
      <c r="B690" s="116">
        <v>149</v>
      </c>
      <c r="C690" s="116">
        <f>120</f>
        <v>120</v>
      </c>
      <c r="D690" s="176">
        <f t="shared" si="10"/>
        <v>80.53691275167785</v>
      </c>
      <c r="E690" s="116"/>
    </row>
    <row r="691" spans="1:5" ht="19.5" customHeight="1">
      <c r="A691" s="116" t="s">
        <v>539</v>
      </c>
      <c r="B691" s="116">
        <v>142</v>
      </c>
      <c r="C691" s="116">
        <f>152</f>
        <v>152</v>
      </c>
      <c r="D691" s="176">
        <f t="shared" si="10"/>
        <v>107.04225352112675</v>
      </c>
      <c r="E691" s="116"/>
    </row>
    <row r="692" spans="1:5" ht="19.5" customHeight="1">
      <c r="A692" s="116" t="s">
        <v>540</v>
      </c>
      <c r="B692" s="116">
        <v>313</v>
      </c>
      <c r="C692" s="116">
        <f>305</f>
        <v>305</v>
      </c>
      <c r="D692" s="176">
        <f t="shared" si="10"/>
        <v>97.44408945686901</v>
      </c>
      <c r="E692" s="116"/>
    </row>
    <row r="693" spans="1:5" ht="19.5" customHeight="1">
      <c r="A693" s="116" t="s">
        <v>541</v>
      </c>
      <c r="B693" s="116"/>
      <c r="C693" s="116"/>
      <c r="D693" s="176" t="e">
        <f t="shared" si="10"/>
        <v>#DIV/0!</v>
      </c>
      <c r="E693" s="116"/>
    </row>
    <row r="694" spans="1:5" ht="19.5" customHeight="1">
      <c r="A694" s="116" t="s">
        <v>542</v>
      </c>
      <c r="B694" s="116"/>
      <c r="C694" s="116"/>
      <c r="D694" s="176" t="e">
        <f t="shared" si="10"/>
        <v>#DIV/0!</v>
      </c>
      <c r="E694" s="116"/>
    </row>
    <row r="695" spans="1:5" ht="19.5" customHeight="1">
      <c r="A695" s="116" t="s">
        <v>543</v>
      </c>
      <c r="B695" s="116"/>
      <c r="C695" s="116"/>
      <c r="D695" s="176" t="e">
        <f t="shared" si="10"/>
        <v>#DIV/0!</v>
      </c>
      <c r="E695" s="116"/>
    </row>
    <row r="696" spans="1:5" ht="19.5" customHeight="1">
      <c r="A696" s="116" t="s">
        <v>544</v>
      </c>
      <c r="B696" s="116"/>
      <c r="C696" s="116"/>
      <c r="D696" s="176" t="e">
        <f t="shared" si="10"/>
        <v>#DIV/0!</v>
      </c>
      <c r="E696" s="116"/>
    </row>
    <row r="697" spans="1:5" ht="19.5" customHeight="1">
      <c r="A697" s="116" t="s">
        <v>545</v>
      </c>
      <c r="B697" s="116">
        <v>457</v>
      </c>
      <c r="C697" s="116">
        <f>383+51+35</f>
        <v>469</v>
      </c>
      <c r="D697" s="176">
        <f t="shared" si="10"/>
        <v>102.6258205689278</v>
      </c>
      <c r="E697" s="116"/>
    </row>
    <row r="698" spans="1:5" ht="19.5" customHeight="1">
      <c r="A698" s="116" t="s">
        <v>546</v>
      </c>
      <c r="B698" s="116">
        <v>468</v>
      </c>
      <c r="C698" s="116">
        <f>95+9</f>
        <v>104</v>
      </c>
      <c r="D698" s="176">
        <f t="shared" si="10"/>
        <v>22.22222222222222</v>
      </c>
      <c r="E698" s="116"/>
    </row>
    <row r="699" spans="1:5" ht="19.5" customHeight="1">
      <c r="A699" s="116" t="s">
        <v>547</v>
      </c>
      <c r="B699" s="116"/>
      <c r="C699" s="116"/>
      <c r="D699" s="176" t="e">
        <f t="shared" si="10"/>
        <v>#DIV/0!</v>
      </c>
      <c r="E699" s="116"/>
    </row>
    <row r="700" spans="1:5" ht="19.5" customHeight="1">
      <c r="A700" s="116" t="s">
        <v>548</v>
      </c>
      <c r="B700" s="116">
        <v>131</v>
      </c>
      <c r="C700" s="116"/>
      <c r="D700" s="176">
        <f t="shared" si="10"/>
        <v>0</v>
      </c>
      <c r="E700" s="116"/>
    </row>
    <row r="701" spans="1:5" ht="19.5" customHeight="1">
      <c r="A701" s="116" t="s">
        <v>549</v>
      </c>
      <c r="B701" s="116">
        <f>SUM(B702:B703)</f>
        <v>42</v>
      </c>
      <c r="C701" s="114">
        <f>SUM(C702:C703)</f>
        <v>74</v>
      </c>
      <c r="D701" s="176">
        <f t="shared" si="10"/>
        <v>176.19047619047618</v>
      </c>
      <c r="E701" s="116"/>
    </row>
    <row r="702" spans="1:5" ht="19.5" customHeight="1">
      <c r="A702" s="116" t="s">
        <v>550</v>
      </c>
      <c r="B702" s="116">
        <v>27</v>
      </c>
      <c r="C702" s="116">
        <v>74</v>
      </c>
      <c r="D702" s="176">
        <f t="shared" si="10"/>
        <v>274.0740740740741</v>
      </c>
      <c r="E702" s="116"/>
    </row>
    <row r="703" spans="1:5" ht="19.5" customHeight="1">
      <c r="A703" s="116" t="s">
        <v>551</v>
      </c>
      <c r="B703" s="116">
        <v>15</v>
      </c>
      <c r="C703" s="116"/>
      <c r="D703" s="176">
        <f t="shared" si="10"/>
        <v>0</v>
      </c>
      <c r="E703" s="116"/>
    </row>
    <row r="704" spans="1:5" ht="19.5" customHeight="1">
      <c r="A704" s="116" t="s">
        <v>552</v>
      </c>
      <c r="B704" s="116">
        <f>SUM(B705:B707)</f>
        <v>381</v>
      </c>
      <c r="C704" s="114">
        <f>SUM(C705:C707)</f>
        <v>347</v>
      </c>
      <c r="D704" s="176">
        <f t="shared" si="10"/>
        <v>91.0761154855643</v>
      </c>
      <c r="E704" s="116"/>
    </row>
    <row r="705" spans="1:5" ht="19.5" customHeight="1">
      <c r="A705" s="116" t="s">
        <v>553</v>
      </c>
      <c r="B705" s="116">
        <v>3</v>
      </c>
      <c r="C705" s="116"/>
      <c r="D705" s="176">
        <f t="shared" si="10"/>
        <v>0</v>
      </c>
      <c r="E705" s="116"/>
    </row>
    <row r="706" spans="1:5" ht="19.5" customHeight="1">
      <c r="A706" s="116" t="s">
        <v>554</v>
      </c>
      <c r="B706" s="116">
        <v>278</v>
      </c>
      <c r="C706" s="116">
        <f>248</f>
        <v>248</v>
      </c>
      <c r="D706" s="176">
        <f t="shared" si="10"/>
        <v>89.20863309352518</v>
      </c>
      <c r="E706" s="116"/>
    </row>
    <row r="707" spans="1:5" ht="19.5" customHeight="1">
      <c r="A707" s="116" t="s">
        <v>555</v>
      </c>
      <c r="B707" s="116">
        <v>100</v>
      </c>
      <c r="C707" s="116">
        <f>78+21</f>
        <v>99</v>
      </c>
      <c r="D707" s="176">
        <f t="shared" si="10"/>
        <v>99</v>
      </c>
      <c r="E707" s="116"/>
    </row>
    <row r="708" spans="1:5" ht="19.5" customHeight="1">
      <c r="A708" s="116" t="s">
        <v>556</v>
      </c>
      <c r="B708" s="116">
        <f>SUM(B709:B717)</f>
        <v>264</v>
      </c>
      <c r="C708" s="114">
        <f>SUM(C709:C717)</f>
        <v>273</v>
      </c>
      <c r="D708" s="176">
        <f t="shared" si="10"/>
        <v>103.40909090909092</v>
      </c>
      <c r="E708" s="116"/>
    </row>
    <row r="709" spans="1:5" ht="19.5" customHeight="1">
      <c r="A709" s="116" t="s">
        <v>39</v>
      </c>
      <c r="B709" s="116">
        <v>223</v>
      </c>
      <c r="C709" s="116">
        <f>232</f>
        <v>232</v>
      </c>
      <c r="D709" s="176">
        <f aca="true" t="shared" si="11" ref="D709:D772">C709/B709*100</f>
        <v>104.03587443946188</v>
      </c>
      <c r="E709" s="116"/>
    </row>
    <row r="710" spans="1:5" ht="19.5" customHeight="1">
      <c r="A710" s="116" t="s">
        <v>40</v>
      </c>
      <c r="B710" s="116">
        <v>28</v>
      </c>
      <c r="C710" s="116">
        <f>27</f>
        <v>27</v>
      </c>
      <c r="D710" s="176">
        <f t="shared" si="11"/>
        <v>96.42857142857143</v>
      </c>
      <c r="E710" s="116"/>
    </row>
    <row r="711" spans="1:5" ht="19.5" customHeight="1">
      <c r="A711" s="116" t="s">
        <v>41</v>
      </c>
      <c r="B711" s="116"/>
      <c r="C711" s="116"/>
      <c r="D711" s="176" t="e">
        <f t="shared" si="11"/>
        <v>#DIV/0!</v>
      </c>
      <c r="E711" s="116"/>
    </row>
    <row r="712" spans="1:5" ht="19.5" customHeight="1">
      <c r="A712" s="116" t="s">
        <v>557</v>
      </c>
      <c r="B712" s="116"/>
      <c r="C712" s="116"/>
      <c r="D712" s="176" t="e">
        <f t="shared" si="11"/>
        <v>#DIV/0!</v>
      </c>
      <c r="E712" s="116"/>
    </row>
    <row r="713" spans="1:5" ht="19.5" customHeight="1">
      <c r="A713" s="116" t="s">
        <v>558</v>
      </c>
      <c r="B713" s="116"/>
      <c r="C713" s="116"/>
      <c r="D713" s="176" t="e">
        <f t="shared" si="11"/>
        <v>#DIV/0!</v>
      </c>
      <c r="E713" s="116"/>
    </row>
    <row r="714" spans="1:5" ht="19.5" customHeight="1">
      <c r="A714" s="116" t="s">
        <v>559</v>
      </c>
      <c r="B714" s="116"/>
      <c r="C714" s="116"/>
      <c r="D714" s="176" t="e">
        <f t="shared" si="11"/>
        <v>#DIV/0!</v>
      </c>
      <c r="E714" s="116"/>
    </row>
    <row r="715" spans="1:5" ht="19.5" customHeight="1">
      <c r="A715" s="116" t="s">
        <v>560</v>
      </c>
      <c r="B715" s="116"/>
      <c r="C715" s="116"/>
      <c r="D715" s="176" t="e">
        <f t="shared" si="11"/>
        <v>#DIV/0!</v>
      </c>
      <c r="E715" s="116"/>
    </row>
    <row r="716" spans="1:5" ht="19.5" customHeight="1">
      <c r="A716" s="116" t="s">
        <v>48</v>
      </c>
      <c r="B716" s="116"/>
      <c r="C716" s="116"/>
      <c r="D716" s="176" t="e">
        <f t="shared" si="11"/>
        <v>#DIV/0!</v>
      </c>
      <c r="E716" s="116"/>
    </row>
    <row r="717" spans="1:5" ht="19.5" customHeight="1">
      <c r="A717" s="116" t="s">
        <v>561</v>
      </c>
      <c r="B717" s="116">
        <v>13</v>
      </c>
      <c r="C717" s="116">
        <v>14</v>
      </c>
      <c r="D717" s="176">
        <f t="shared" si="11"/>
        <v>107.6923076923077</v>
      </c>
      <c r="E717" s="116"/>
    </row>
    <row r="718" spans="1:5" s="172" customFormat="1" ht="19.5" customHeight="1">
      <c r="A718" s="116" t="s">
        <v>562</v>
      </c>
      <c r="B718" s="181">
        <f>SUM(B719:B722)</f>
        <v>0</v>
      </c>
      <c r="C718" s="182">
        <f>SUM(C719:C722)</f>
        <v>1232</v>
      </c>
      <c r="D718" s="176" t="e">
        <f t="shared" si="11"/>
        <v>#DIV/0!</v>
      </c>
      <c r="E718" s="181"/>
    </row>
    <row r="719" spans="1:5" s="172" customFormat="1" ht="19.5" customHeight="1">
      <c r="A719" s="116" t="s">
        <v>563</v>
      </c>
      <c r="B719" s="181"/>
      <c r="C719" s="181">
        <v>375</v>
      </c>
      <c r="D719" s="176" t="e">
        <f t="shared" si="11"/>
        <v>#DIV/0!</v>
      </c>
      <c r="E719" s="181"/>
    </row>
    <row r="720" spans="1:5" s="172" customFormat="1" ht="19.5" customHeight="1">
      <c r="A720" s="116" t="s">
        <v>564</v>
      </c>
      <c r="B720" s="181"/>
      <c r="C720" s="181">
        <f>795</f>
        <v>795</v>
      </c>
      <c r="D720" s="176" t="e">
        <f t="shared" si="11"/>
        <v>#DIV/0!</v>
      </c>
      <c r="E720" s="181"/>
    </row>
    <row r="721" spans="1:5" s="172" customFormat="1" ht="19.5" customHeight="1">
      <c r="A721" s="116" t="s">
        <v>565</v>
      </c>
      <c r="B721" s="181"/>
      <c r="C721" s="181"/>
      <c r="D721" s="176" t="e">
        <f t="shared" si="11"/>
        <v>#DIV/0!</v>
      </c>
      <c r="E721" s="181"/>
    </row>
    <row r="722" spans="1:5" s="172" customFormat="1" ht="19.5" customHeight="1">
      <c r="A722" s="116" t="s">
        <v>566</v>
      </c>
      <c r="B722" s="181"/>
      <c r="C722" s="181">
        <f>62</f>
        <v>62</v>
      </c>
      <c r="D722" s="176" t="e">
        <f t="shared" si="11"/>
        <v>#DIV/0!</v>
      </c>
      <c r="E722" s="181"/>
    </row>
    <row r="723" spans="1:5" s="172" customFormat="1" ht="19.5" customHeight="1">
      <c r="A723" s="116" t="s">
        <v>567</v>
      </c>
      <c r="B723" s="181">
        <f>SUM(B724:B728)</f>
        <v>4559</v>
      </c>
      <c r="C723" s="182">
        <f>SUM(C724:C728)</f>
        <v>3003</v>
      </c>
      <c r="D723" s="176">
        <f t="shared" si="11"/>
        <v>65.86970826935732</v>
      </c>
      <c r="E723" s="181"/>
    </row>
    <row r="724" spans="1:5" s="172" customFormat="1" ht="19.5" customHeight="1">
      <c r="A724" s="116" t="s">
        <v>568</v>
      </c>
      <c r="B724" s="181"/>
      <c r="C724" s="181">
        <f>25</f>
        <v>25</v>
      </c>
      <c r="D724" s="176" t="e">
        <f t="shared" si="11"/>
        <v>#DIV/0!</v>
      </c>
      <c r="E724" s="181"/>
    </row>
    <row r="725" spans="1:5" s="172" customFormat="1" ht="19.5" customHeight="1">
      <c r="A725" s="116" t="s">
        <v>569</v>
      </c>
      <c r="B725" s="181"/>
      <c r="C725" s="181">
        <f>2487</f>
        <v>2487</v>
      </c>
      <c r="D725" s="176" t="e">
        <f t="shared" si="11"/>
        <v>#DIV/0!</v>
      </c>
      <c r="E725" s="181"/>
    </row>
    <row r="726" spans="1:5" s="172" customFormat="1" ht="19.5" customHeight="1">
      <c r="A726" s="116" t="s">
        <v>570</v>
      </c>
      <c r="B726" s="181">
        <v>3104</v>
      </c>
      <c r="C726" s="181">
        <f>431</f>
        <v>431</v>
      </c>
      <c r="D726" s="176">
        <f t="shared" si="11"/>
        <v>13.885309278350515</v>
      </c>
      <c r="E726" s="181"/>
    </row>
    <row r="727" spans="1:5" s="172" customFormat="1" ht="19.5" customHeight="1">
      <c r="A727" s="116" t="s">
        <v>571</v>
      </c>
      <c r="B727" s="181">
        <v>449</v>
      </c>
      <c r="C727" s="181">
        <f>60</f>
        <v>60</v>
      </c>
      <c r="D727" s="176">
        <f t="shared" si="11"/>
        <v>13.3630289532294</v>
      </c>
      <c r="E727" s="181"/>
    </row>
    <row r="728" spans="1:5" s="172" customFormat="1" ht="19.5" customHeight="1">
      <c r="A728" s="116" t="s">
        <v>572</v>
      </c>
      <c r="B728" s="181">
        <v>1006</v>
      </c>
      <c r="C728" s="181"/>
      <c r="D728" s="176">
        <f t="shared" si="11"/>
        <v>0</v>
      </c>
      <c r="E728" s="181"/>
    </row>
    <row r="729" spans="1:5" s="172" customFormat="1" ht="19.5" customHeight="1">
      <c r="A729" s="116" t="s">
        <v>573</v>
      </c>
      <c r="B729" s="181">
        <f>SUM(B730:B732)</f>
        <v>431</v>
      </c>
      <c r="C729" s="182">
        <f>SUM(C730:C732)</f>
        <v>258</v>
      </c>
      <c r="D729" s="176">
        <f t="shared" si="11"/>
        <v>59.86078886310905</v>
      </c>
      <c r="E729" s="181"/>
    </row>
    <row r="730" spans="1:5" s="172" customFormat="1" ht="19.5" customHeight="1">
      <c r="A730" s="116" t="s">
        <v>574</v>
      </c>
      <c r="B730" s="181">
        <v>431</v>
      </c>
      <c r="C730" s="181">
        <f>246+12</f>
        <v>258</v>
      </c>
      <c r="D730" s="176">
        <f t="shared" si="11"/>
        <v>59.86078886310905</v>
      </c>
      <c r="E730" s="181"/>
    </row>
    <row r="731" spans="1:5" s="172" customFormat="1" ht="19.5" customHeight="1">
      <c r="A731" s="116" t="s">
        <v>575</v>
      </c>
      <c r="B731" s="181"/>
      <c r="C731" s="181"/>
      <c r="D731" s="176" t="e">
        <f t="shared" si="11"/>
        <v>#DIV/0!</v>
      </c>
      <c r="E731" s="181"/>
    </row>
    <row r="732" spans="1:5" s="172" customFormat="1" ht="19.5" customHeight="1">
      <c r="A732" s="116" t="s">
        <v>576</v>
      </c>
      <c r="B732" s="181"/>
      <c r="C732" s="181"/>
      <c r="D732" s="176" t="e">
        <f t="shared" si="11"/>
        <v>#DIV/0!</v>
      </c>
      <c r="E732" s="181"/>
    </row>
    <row r="733" spans="1:5" s="172" customFormat="1" ht="19.5" customHeight="1">
      <c r="A733" s="116" t="s">
        <v>577</v>
      </c>
      <c r="B733" s="181">
        <f>SUM(B734:B735)</f>
        <v>37</v>
      </c>
      <c r="C733" s="182">
        <f>SUM(C734:C735)</f>
        <v>10</v>
      </c>
      <c r="D733" s="176">
        <f t="shared" si="11"/>
        <v>27.027027027027028</v>
      </c>
      <c r="E733" s="181"/>
    </row>
    <row r="734" spans="1:5" s="172" customFormat="1" ht="19.5" customHeight="1">
      <c r="A734" s="116" t="s">
        <v>578</v>
      </c>
      <c r="B734" s="181">
        <v>37</v>
      </c>
      <c r="C734" s="181">
        <v>10</v>
      </c>
      <c r="D734" s="176">
        <f t="shared" si="11"/>
        <v>27.027027027027028</v>
      </c>
      <c r="E734" s="181"/>
    </row>
    <row r="735" spans="1:5" s="172" customFormat="1" ht="19.5" customHeight="1">
      <c r="A735" s="116" t="s">
        <v>579</v>
      </c>
      <c r="B735" s="181"/>
      <c r="C735" s="181"/>
      <c r="D735" s="176" t="e">
        <f t="shared" si="11"/>
        <v>#DIV/0!</v>
      </c>
      <c r="E735" s="181"/>
    </row>
    <row r="736" spans="1:5" ht="19.5" customHeight="1">
      <c r="A736" s="116" t="s">
        <v>580</v>
      </c>
      <c r="B736" s="116">
        <v>383</v>
      </c>
      <c r="C736" s="116">
        <v>109</v>
      </c>
      <c r="D736" s="176">
        <f t="shared" si="11"/>
        <v>28.459530026109658</v>
      </c>
      <c r="E736" s="116"/>
    </row>
    <row r="737" spans="1:5" ht="19.5" customHeight="1">
      <c r="A737" s="116" t="s">
        <v>581</v>
      </c>
      <c r="B737" s="116">
        <f>SUM(B738,B747,B751,B759,B765,B771,B777,B780,B784,B785)</f>
        <v>4376</v>
      </c>
      <c r="C737" s="114">
        <f>C738+C747+C751+C759+C765+C771+C777+C780+C783+C784+C785+C791+C792+C793+C808</f>
        <v>1961</v>
      </c>
      <c r="D737" s="176">
        <f t="shared" si="11"/>
        <v>44.81261425959781</v>
      </c>
      <c r="E737" s="116"/>
    </row>
    <row r="738" spans="1:5" ht="19.5" customHeight="1">
      <c r="A738" s="116" t="s">
        <v>582</v>
      </c>
      <c r="B738" s="116">
        <f>SUM(B739:B746)</f>
        <v>266</v>
      </c>
      <c r="C738" s="114">
        <f>SUM(C739:C746)</f>
        <v>208</v>
      </c>
      <c r="D738" s="176">
        <f t="shared" si="11"/>
        <v>78.19548872180451</v>
      </c>
      <c r="E738" s="116"/>
    </row>
    <row r="739" spans="1:5" ht="19.5" customHeight="1">
      <c r="A739" s="116" t="s">
        <v>39</v>
      </c>
      <c r="B739" s="116">
        <v>176</v>
      </c>
      <c r="C739" s="116">
        <f>159</f>
        <v>159</v>
      </c>
      <c r="D739" s="176">
        <f t="shared" si="11"/>
        <v>90.3409090909091</v>
      </c>
      <c r="E739" s="116"/>
    </row>
    <row r="740" spans="1:5" ht="19.5" customHeight="1">
      <c r="A740" s="116" t="s">
        <v>40</v>
      </c>
      <c r="B740" s="116">
        <v>86</v>
      </c>
      <c r="C740" s="116">
        <f>49</f>
        <v>49</v>
      </c>
      <c r="D740" s="176">
        <f t="shared" si="11"/>
        <v>56.97674418604651</v>
      </c>
      <c r="E740" s="116"/>
    </row>
    <row r="741" spans="1:5" ht="19.5" customHeight="1">
      <c r="A741" s="116" t="s">
        <v>41</v>
      </c>
      <c r="B741" s="116"/>
      <c r="C741" s="116"/>
      <c r="D741" s="176" t="e">
        <f t="shared" si="11"/>
        <v>#DIV/0!</v>
      </c>
      <c r="E741" s="116"/>
    </row>
    <row r="742" spans="1:5" ht="19.5" customHeight="1">
      <c r="A742" s="116" t="s">
        <v>583</v>
      </c>
      <c r="B742" s="116">
        <v>2</v>
      </c>
      <c r="C742" s="116"/>
      <c r="D742" s="176">
        <f t="shared" si="11"/>
        <v>0</v>
      </c>
      <c r="E742" s="116"/>
    </row>
    <row r="743" spans="1:5" ht="19.5" customHeight="1">
      <c r="A743" s="116" t="s">
        <v>584</v>
      </c>
      <c r="B743" s="116"/>
      <c r="C743" s="116"/>
      <c r="D743" s="176" t="e">
        <f t="shared" si="11"/>
        <v>#DIV/0!</v>
      </c>
      <c r="E743" s="116"/>
    </row>
    <row r="744" spans="1:5" ht="19.5" customHeight="1">
      <c r="A744" s="116" t="s">
        <v>585</v>
      </c>
      <c r="B744" s="116"/>
      <c r="C744" s="116"/>
      <c r="D744" s="176" t="e">
        <f t="shared" si="11"/>
        <v>#DIV/0!</v>
      </c>
      <c r="E744" s="116"/>
    </row>
    <row r="745" spans="1:5" ht="19.5" customHeight="1">
      <c r="A745" s="116" t="s">
        <v>586</v>
      </c>
      <c r="B745" s="116"/>
      <c r="C745" s="116"/>
      <c r="D745" s="176" t="e">
        <f t="shared" si="11"/>
        <v>#DIV/0!</v>
      </c>
      <c r="E745" s="116"/>
    </row>
    <row r="746" spans="1:5" ht="19.5" customHeight="1">
      <c r="A746" s="116" t="s">
        <v>587</v>
      </c>
      <c r="B746" s="116">
        <v>2</v>
      </c>
      <c r="C746" s="116"/>
      <c r="D746" s="176">
        <f t="shared" si="11"/>
        <v>0</v>
      </c>
      <c r="E746" s="116"/>
    </row>
    <row r="747" spans="1:5" ht="19.5" customHeight="1">
      <c r="A747" s="116" t="s">
        <v>588</v>
      </c>
      <c r="B747" s="116">
        <f>SUM(B748:B750)</f>
        <v>48</v>
      </c>
      <c r="C747" s="114">
        <f>SUM(C748:C750)</f>
        <v>26</v>
      </c>
      <c r="D747" s="176">
        <f t="shared" si="11"/>
        <v>54.166666666666664</v>
      </c>
      <c r="E747" s="116"/>
    </row>
    <row r="748" spans="1:5" ht="19.5" customHeight="1">
      <c r="A748" s="116" t="s">
        <v>589</v>
      </c>
      <c r="B748" s="116"/>
      <c r="C748" s="116"/>
      <c r="D748" s="176" t="e">
        <f t="shared" si="11"/>
        <v>#DIV/0!</v>
      </c>
      <c r="E748" s="116"/>
    </row>
    <row r="749" spans="1:5" ht="19.5" customHeight="1">
      <c r="A749" s="116" t="s">
        <v>590</v>
      </c>
      <c r="B749" s="116"/>
      <c r="C749" s="116"/>
      <c r="D749" s="176" t="e">
        <f t="shared" si="11"/>
        <v>#DIV/0!</v>
      </c>
      <c r="E749" s="116"/>
    </row>
    <row r="750" spans="1:5" ht="19.5" customHeight="1">
      <c r="A750" s="116" t="s">
        <v>591</v>
      </c>
      <c r="B750" s="116">
        <v>48</v>
      </c>
      <c r="C750" s="116">
        <v>26</v>
      </c>
      <c r="D750" s="176">
        <f t="shared" si="11"/>
        <v>54.166666666666664</v>
      </c>
      <c r="E750" s="116"/>
    </row>
    <row r="751" spans="1:5" ht="19.5" customHeight="1">
      <c r="A751" s="116" t="s">
        <v>592</v>
      </c>
      <c r="B751" s="116">
        <f>SUM(B752:B758)</f>
        <v>349</v>
      </c>
      <c r="C751" s="114">
        <f>SUM(C752:C758)</f>
        <v>332</v>
      </c>
      <c r="D751" s="176">
        <f t="shared" si="11"/>
        <v>95.12893982808023</v>
      </c>
      <c r="E751" s="116"/>
    </row>
    <row r="752" spans="1:5" ht="19.5" customHeight="1">
      <c r="A752" s="116" t="s">
        <v>593</v>
      </c>
      <c r="B752" s="116">
        <v>2</v>
      </c>
      <c r="C752" s="116"/>
      <c r="D752" s="176">
        <f t="shared" si="11"/>
        <v>0</v>
      </c>
      <c r="E752" s="116"/>
    </row>
    <row r="753" spans="1:5" ht="19.5" customHeight="1">
      <c r="A753" s="116" t="s">
        <v>594</v>
      </c>
      <c r="B753" s="116"/>
      <c r="C753" s="116">
        <f>300</f>
        <v>300</v>
      </c>
      <c r="D753" s="176" t="e">
        <f t="shared" si="11"/>
        <v>#DIV/0!</v>
      </c>
      <c r="E753" s="116"/>
    </row>
    <row r="754" spans="1:5" ht="19.5" customHeight="1">
      <c r="A754" s="116" t="s">
        <v>595</v>
      </c>
      <c r="B754" s="116"/>
      <c r="C754" s="116"/>
      <c r="D754" s="176" t="e">
        <f t="shared" si="11"/>
        <v>#DIV/0!</v>
      </c>
      <c r="E754" s="116"/>
    </row>
    <row r="755" spans="1:5" ht="19.5" customHeight="1">
      <c r="A755" s="116" t="s">
        <v>596</v>
      </c>
      <c r="B755" s="116">
        <v>285</v>
      </c>
      <c r="C755" s="116">
        <f>15</f>
        <v>15</v>
      </c>
      <c r="D755" s="176">
        <f t="shared" si="11"/>
        <v>5.263157894736842</v>
      </c>
      <c r="E755" s="116"/>
    </row>
    <row r="756" spans="1:5" ht="19.5" customHeight="1">
      <c r="A756" s="116" t="s">
        <v>597</v>
      </c>
      <c r="B756" s="116"/>
      <c r="C756" s="116"/>
      <c r="D756" s="176" t="e">
        <f t="shared" si="11"/>
        <v>#DIV/0!</v>
      </c>
      <c r="E756" s="116"/>
    </row>
    <row r="757" spans="1:5" ht="19.5" customHeight="1">
      <c r="A757" s="116" t="s">
        <v>598</v>
      </c>
      <c r="B757" s="116"/>
      <c r="C757" s="116"/>
      <c r="D757" s="176" t="e">
        <f t="shared" si="11"/>
        <v>#DIV/0!</v>
      </c>
      <c r="E757" s="116"/>
    </row>
    <row r="758" spans="1:5" ht="19.5" customHeight="1">
      <c r="A758" s="116" t="s">
        <v>599</v>
      </c>
      <c r="B758" s="116">
        <f>18+44</f>
        <v>62</v>
      </c>
      <c r="C758" s="116">
        <f>5+12</f>
        <v>17</v>
      </c>
      <c r="D758" s="176">
        <f t="shared" si="11"/>
        <v>27.419354838709676</v>
      </c>
      <c r="E758" s="116"/>
    </row>
    <row r="759" spans="1:5" ht="19.5" customHeight="1">
      <c r="A759" s="116" t="s">
        <v>600</v>
      </c>
      <c r="B759" s="116">
        <f>SUM(B760:B764)</f>
        <v>58</v>
      </c>
      <c r="C759" s="114">
        <f>SUM(C760:C764)</f>
        <v>236</v>
      </c>
      <c r="D759" s="176">
        <f t="shared" si="11"/>
        <v>406.8965517241379</v>
      </c>
      <c r="E759" s="116"/>
    </row>
    <row r="760" spans="1:5" ht="19.5" customHeight="1">
      <c r="A760" s="116" t="s">
        <v>601</v>
      </c>
      <c r="B760" s="116"/>
      <c r="C760" s="116"/>
      <c r="D760" s="176" t="e">
        <f t="shared" si="11"/>
        <v>#DIV/0!</v>
      </c>
      <c r="E760" s="116"/>
    </row>
    <row r="761" spans="1:5" ht="19.5" customHeight="1">
      <c r="A761" s="116" t="s">
        <v>602</v>
      </c>
      <c r="B761" s="116">
        <v>58</v>
      </c>
      <c r="C761" s="116">
        <f>118+118</f>
        <v>236</v>
      </c>
      <c r="D761" s="176">
        <f t="shared" si="11"/>
        <v>406.8965517241379</v>
      </c>
      <c r="E761" s="116"/>
    </row>
    <row r="762" spans="1:5" ht="19.5" customHeight="1">
      <c r="A762" s="116" t="s">
        <v>603</v>
      </c>
      <c r="B762" s="116"/>
      <c r="C762" s="116"/>
      <c r="D762" s="176" t="e">
        <f t="shared" si="11"/>
        <v>#DIV/0!</v>
      </c>
      <c r="E762" s="116"/>
    </row>
    <row r="763" spans="1:5" ht="19.5" customHeight="1">
      <c r="A763" s="116" t="s">
        <v>604</v>
      </c>
      <c r="B763" s="116"/>
      <c r="C763" s="116"/>
      <c r="D763" s="176" t="e">
        <f t="shared" si="11"/>
        <v>#DIV/0!</v>
      </c>
      <c r="E763" s="116"/>
    </row>
    <row r="764" spans="1:5" ht="19.5" customHeight="1">
      <c r="A764" s="116" t="s">
        <v>605</v>
      </c>
      <c r="B764" s="116"/>
      <c r="C764" s="116"/>
      <c r="D764" s="176" t="e">
        <f t="shared" si="11"/>
        <v>#DIV/0!</v>
      </c>
      <c r="E764" s="116"/>
    </row>
    <row r="765" spans="1:5" ht="19.5" customHeight="1">
      <c r="A765" s="116" t="s">
        <v>606</v>
      </c>
      <c r="B765" s="116">
        <f>SUM(B766:B770)</f>
        <v>764</v>
      </c>
      <c r="C765" s="114">
        <f>SUM(C766:C770)</f>
        <v>36</v>
      </c>
      <c r="D765" s="176">
        <f t="shared" si="11"/>
        <v>4.712041884816754</v>
      </c>
      <c r="E765" s="116"/>
    </row>
    <row r="766" spans="1:5" ht="19.5" customHeight="1">
      <c r="A766" s="116" t="s">
        <v>607</v>
      </c>
      <c r="B766" s="116">
        <v>6</v>
      </c>
      <c r="C766" s="116"/>
      <c r="D766" s="176">
        <f t="shared" si="11"/>
        <v>0</v>
      </c>
      <c r="E766" s="116"/>
    </row>
    <row r="767" spans="1:5" ht="19.5" customHeight="1">
      <c r="A767" s="116" t="s">
        <v>608</v>
      </c>
      <c r="B767" s="116">
        <v>31</v>
      </c>
      <c r="C767" s="116">
        <v>23</v>
      </c>
      <c r="D767" s="176">
        <f t="shared" si="11"/>
        <v>74.19354838709677</v>
      </c>
      <c r="E767" s="116"/>
    </row>
    <row r="768" spans="1:5" ht="19.5" customHeight="1">
      <c r="A768" s="116" t="s">
        <v>609</v>
      </c>
      <c r="B768" s="116"/>
      <c r="C768" s="116"/>
      <c r="D768" s="176" t="e">
        <f t="shared" si="11"/>
        <v>#DIV/0!</v>
      </c>
      <c r="E768" s="116"/>
    </row>
    <row r="769" spans="1:5" ht="19.5" customHeight="1">
      <c r="A769" s="116" t="s">
        <v>610</v>
      </c>
      <c r="B769" s="116">
        <v>254</v>
      </c>
      <c r="C769" s="116">
        <f>13</f>
        <v>13</v>
      </c>
      <c r="D769" s="176">
        <f t="shared" si="11"/>
        <v>5.118110236220472</v>
      </c>
      <c r="E769" s="116"/>
    </row>
    <row r="770" spans="1:5" ht="19.5" customHeight="1">
      <c r="A770" s="116" t="s">
        <v>611</v>
      </c>
      <c r="B770" s="116">
        <v>473</v>
      </c>
      <c r="C770" s="116"/>
      <c r="D770" s="176">
        <f t="shared" si="11"/>
        <v>0</v>
      </c>
      <c r="E770" s="116"/>
    </row>
    <row r="771" spans="1:5" ht="19.5" customHeight="1">
      <c r="A771" s="116" t="s">
        <v>612</v>
      </c>
      <c r="B771" s="116">
        <f>SUM(B772:B776)</f>
        <v>1018</v>
      </c>
      <c r="C771" s="114">
        <f>SUM(C772:C776)</f>
        <v>523</v>
      </c>
      <c r="D771" s="176">
        <f t="shared" si="11"/>
        <v>51.37524557956779</v>
      </c>
      <c r="E771" s="116"/>
    </row>
    <row r="772" spans="1:5" ht="19.5" customHeight="1">
      <c r="A772" s="116" t="s">
        <v>613</v>
      </c>
      <c r="B772" s="116">
        <v>616</v>
      </c>
      <c r="C772" s="116">
        <v>523</v>
      </c>
      <c r="D772" s="176">
        <f t="shared" si="11"/>
        <v>84.90259740259741</v>
      </c>
      <c r="E772" s="116"/>
    </row>
    <row r="773" spans="1:5" ht="19.5" customHeight="1">
      <c r="A773" s="116" t="s">
        <v>614</v>
      </c>
      <c r="B773" s="116"/>
      <c r="C773" s="116"/>
      <c r="D773" s="176" t="e">
        <f aca="true" t="shared" si="12" ref="D773:D836">C773/B773*100</f>
        <v>#DIV/0!</v>
      </c>
      <c r="E773" s="116"/>
    </row>
    <row r="774" spans="1:5" ht="19.5" customHeight="1">
      <c r="A774" s="116" t="s">
        <v>615</v>
      </c>
      <c r="B774" s="116"/>
      <c r="C774" s="116"/>
      <c r="D774" s="176" t="e">
        <f t="shared" si="12"/>
        <v>#DIV/0!</v>
      </c>
      <c r="E774" s="116"/>
    </row>
    <row r="775" spans="1:5" ht="19.5" customHeight="1">
      <c r="A775" s="116" t="s">
        <v>616</v>
      </c>
      <c r="B775" s="116"/>
      <c r="C775" s="116"/>
      <c r="D775" s="176" t="e">
        <f t="shared" si="12"/>
        <v>#DIV/0!</v>
      </c>
      <c r="E775" s="116"/>
    </row>
    <row r="776" spans="1:5" ht="19.5" customHeight="1">
      <c r="A776" s="116" t="s">
        <v>617</v>
      </c>
      <c r="B776" s="116">
        <v>402</v>
      </c>
      <c r="C776" s="116"/>
      <c r="D776" s="176">
        <f t="shared" si="12"/>
        <v>0</v>
      </c>
      <c r="E776" s="116"/>
    </row>
    <row r="777" spans="1:5" ht="19.5" customHeight="1">
      <c r="A777" s="116" t="s">
        <v>618</v>
      </c>
      <c r="B777" s="116">
        <f>SUM(B778:B779)</f>
        <v>0</v>
      </c>
      <c r="C777" s="114">
        <f>SUM(C778:C779)</f>
        <v>0</v>
      </c>
      <c r="D777" s="176" t="e">
        <f t="shared" si="12"/>
        <v>#DIV/0!</v>
      </c>
      <c r="E777" s="116"/>
    </row>
    <row r="778" spans="1:5" ht="19.5" customHeight="1">
      <c r="A778" s="116" t="s">
        <v>619</v>
      </c>
      <c r="B778" s="116"/>
      <c r="C778" s="116"/>
      <c r="D778" s="176" t="e">
        <f t="shared" si="12"/>
        <v>#DIV/0!</v>
      </c>
      <c r="E778" s="116"/>
    </row>
    <row r="779" spans="1:5" ht="19.5" customHeight="1">
      <c r="A779" s="116" t="s">
        <v>620</v>
      </c>
      <c r="B779" s="116"/>
      <c r="C779" s="116"/>
      <c r="D779" s="176" t="e">
        <f t="shared" si="12"/>
        <v>#DIV/0!</v>
      </c>
      <c r="E779" s="116"/>
    </row>
    <row r="780" spans="1:5" ht="19.5" customHeight="1">
      <c r="A780" s="116" t="s">
        <v>621</v>
      </c>
      <c r="B780" s="116">
        <f>SUM(B781:B782)</f>
        <v>0</v>
      </c>
      <c r="C780" s="114">
        <f>SUM(C781:C782)</f>
        <v>0</v>
      </c>
      <c r="D780" s="176" t="e">
        <f t="shared" si="12"/>
        <v>#DIV/0!</v>
      </c>
      <c r="E780" s="116"/>
    </row>
    <row r="781" spans="1:5" ht="19.5" customHeight="1">
      <c r="A781" s="116" t="s">
        <v>622</v>
      </c>
      <c r="B781" s="116"/>
      <c r="C781" s="116"/>
      <c r="D781" s="176" t="e">
        <f t="shared" si="12"/>
        <v>#DIV/0!</v>
      </c>
      <c r="E781" s="116"/>
    </row>
    <row r="782" spans="1:5" ht="19.5" customHeight="1">
      <c r="A782" s="116" t="s">
        <v>623</v>
      </c>
      <c r="B782" s="116"/>
      <c r="C782" s="116"/>
      <c r="D782" s="176" t="e">
        <f t="shared" si="12"/>
        <v>#DIV/0!</v>
      </c>
      <c r="E782" s="116"/>
    </row>
    <row r="783" spans="1:5" ht="19.5" customHeight="1">
      <c r="A783" s="116" t="s">
        <v>624</v>
      </c>
      <c r="B783" s="116"/>
      <c r="C783" s="116"/>
      <c r="D783" s="176" t="e">
        <f t="shared" si="12"/>
        <v>#DIV/0!</v>
      </c>
      <c r="E783" s="116"/>
    </row>
    <row r="784" spans="1:5" ht="19.5" customHeight="1">
      <c r="A784" s="116" t="s">
        <v>625</v>
      </c>
      <c r="B784" s="116">
        <v>560</v>
      </c>
      <c r="C784" s="116"/>
      <c r="D784" s="176">
        <f t="shared" si="12"/>
        <v>0</v>
      </c>
      <c r="E784" s="116"/>
    </row>
    <row r="785" spans="1:5" ht="19.5" customHeight="1">
      <c r="A785" s="116" t="s">
        <v>626</v>
      </c>
      <c r="B785" s="116">
        <f>SUM(B786:B790)</f>
        <v>1313</v>
      </c>
      <c r="C785" s="114">
        <f>SUM(C786:C790)</f>
        <v>0</v>
      </c>
      <c r="D785" s="176">
        <f t="shared" si="12"/>
        <v>0</v>
      </c>
      <c r="E785" s="116"/>
    </row>
    <row r="786" spans="1:5" ht="19.5" customHeight="1">
      <c r="A786" s="116" t="s">
        <v>627</v>
      </c>
      <c r="B786" s="116"/>
      <c r="C786" s="116"/>
      <c r="D786" s="176" t="e">
        <f t="shared" si="12"/>
        <v>#DIV/0!</v>
      </c>
      <c r="E786" s="116"/>
    </row>
    <row r="787" spans="1:5" ht="19.5" customHeight="1">
      <c r="A787" s="116" t="s">
        <v>628</v>
      </c>
      <c r="B787" s="116"/>
      <c r="C787" s="116"/>
      <c r="D787" s="176" t="e">
        <f t="shared" si="12"/>
        <v>#DIV/0!</v>
      </c>
      <c r="E787" s="116"/>
    </row>
    <row r="788" spans="1:5" ht="19.5" customHeight="1">
      <c r="A788" s="116" t="s">
        <v>629</v>
      </c>
      <c r="B788" s="116">
        <v>16</v>
      </c>
      <c r="C788" s="116"/>
      <c r="D788" s="176">
        <f t="shared" si="12"/>
        <v>0</v>
      </c>
      <c r="E788" s="116"/>
    </row>
    <row r="789" spans="1:5" ht="19.5" customHeight="1">
      <c r="A789" s="116" t="s">
        <v>630</v>
      </c>
      <c r="B789" s="116"/>
      <c r="C789" s="116"/>
      <c r="D789" s="176" t="e">
        <f t="shared" si="12"/>
        <v>#DIV/0!</v>
      </c>
      <c r="E789" s="116"/>
    </row>
    <row r="790" spans="1:5" ht="19.5" customHeight="1">
      <c r="A790" s="116" t="s">
        <v>631</v>
      </c>
      <c r="B790" s="116">
        <v>1297</v>
      </c>
      <c r="C790" s="116"/>
      <c r="D790" s="176">
        <f t="shared" si="12"/>
        <v>0</v>
      </c>
      <c r="E790" s="116"/>
    </row>
    <row r="791" spans="1:5" ht="19.5" customHeight="1">
      <c r="A791" s="116" t="s">
        <v>632</v>
      </c>
      <c r="B791" s="116"/>
      <c r="C791" s="116"/>
      <c r="D791" s="176" t="e">
        <f t="shared" si="12"/>
        <v>#DIV/0!</v>
      </c>
      <c r="E791" s="116"/>
    </row>
    <row r="792" spans="1:5" ht="19.5" customHeight="1">
      <c r="A792" s="116" t="s">
        <v>633</v>
      </c>
      <c r="B792" s="116"/>
      <c r="C792" s="116"/>
      <c r="D792" s="176" t="e">
        <f t="shared" si="12"/>
        <v>#DIV/0!</v>
      </c>
      <c r="E792" s="116"/>
    </row>
    <row r="793" spans="1:5" ht="19.5" customHeight="1">
      <c r="A793" s="116" t="s">
        <v>634</v>
      </c>
      <c r="B793" s="116">
        <f>SUM(B794:B807)</f>
        <v>0</v>
      </c>
      <c r="C793" s="114">
        <f>SUM(C794:C807)</f>
        <v>0</v>
      </c>
      <c r="D793" s="176" t="e">
        <f t="shared" si="12"/>
        <v>#DIV/0!</v>
      </c>
      <c r="E793" s="116"/>
    </row>
    <row r="794" spans="1:5" ht="19.5" customHeight="1">
      <c r="A794" s="116" t="s">
        <v>39</v>
      </c>
      <c r="B794" s="116"/>
      <c r="C794" s="116"/>
      <c r="D794" s="176" t="e">
        <f t="shared" si="12"/>
        <v>#DIV/0!</v>
      </c>
      <c r="E794" s="116"/>
    </row>
    <row r="795" spans="1:5" ht="19.5" customHeight="1">
      <c r="A795" s="116" t="s">
        <v>40</v>
      </c>
      <c r="B795" s="116"/>
      <c r="C795" s="116"/>
      <c r="D795" s="176" t="e">
        <f t="shared" si="12"/>
        <v>#DIV/0!</v>
      </c>
      <c r="E795" s="116"/>
    </row>
    <row r="796" spans="1:5" ht="19.5" customHeight="1">
      <c r="A796" s="116" t="s">
        <v>41</v>
      </c>
      <c r="B796" s="116"/>
      <c r="C796" s="116"/>
      <c r="D796" s="176" t="e">
        <f t="shared" si="12"/>
        <v>#DIV/0!</v>
      </c>
      <c r="E796" s="116"/>
    </row>
    <row r="797" spans="1:5" ht="19.5" customHeight="1">
      <c r="A797" s="116" t="s">
        <v>635</v>
      </c>
      <c r="B797" s="116"/>
      <c r="C797" s="116"/>
      <c r="D797" s="176" t="e">
        <f t="shared" si="12"/>
        <v>#DIV/0!</v>
      </c>
      <c r="E797" s="116"/>
    </row>
    <row r="798" spans="1:5" ht="19.5" customHeight="1">
      <c r="A798" s="116" t="s">
        <v>636</v>
      </c>
      <c r="B798" s="116"/>
      <c r="C798" s="116"/>
      <c r="D798" s="176" t="e">
        <f t="shared" si="12"/>
        <v>#DIV/0!</v>
      </c>
      <c r="E798" s="116"/>
    </row>
    <row r="799" spans="1:5" ht="19.5" customHeight="1">
      <c r="A799" s="116" t="s">
        <v>637</v>
      </c>
      <c r="B799" s="116"/>
      <c r="C799" s="116"/>
      <c r="D799" s="176" t="e">
        <f t="shared" si="12"/>
        <v>#DIV/0!</v>
      </c>
      <c r="E799" s="116"/>
    </row>
    <row r="800" spans="1:5" ht="19.5" customHeight="1">
      <c r="A800" s="116" t="s">
        <v>638</v>
      </c>
      <c r="B800" s="116"/>
      <c r="C800" s="116"/>
      <c r="D800" s="176" t="e">
        <f t="shared" si="12"/>
        <v>#DIV/0!</v>
      </c>
      <c r="E800" s="116"/>
    </row>
    <row r="801" spans="1:5" ht="19.5" customHeight="1">
      <c r="A801" s="116" t="s">
        <v>639</v>
      </c>
      <c r="B801" s="116"/>
      <c r="C801" s="116"/>
      <c r="D801" s="176" t="e">
        <f t="shared" si="12"/>
        <v>#DIV/0!</v>
      </c>
      <c r="E801" s="116"/>
    </row>
    <row r="802" spans="1:5" ht="19.5" customHeight="1">
      <c r="A802" s="116" t="s">
        <v>640</v>
      </c>
      <c r="B802" s="116"/>
      <c r="C802" s="116"/>
      <c r="D802" s="176" t="e">
        <f t="shared" si="12"/>
        <v>#DIV/0!</v>
      </c>
      <c r="E802" s="116"/>
    </row>
    <row r="803" spans="1:5" ht="19.5" customHeight="1">
      <c r="A803" s="116" t="s">
        <v>641</v>
      </c>
      <c r="B803" s="116"/>
      <c r="C803" s="116"/>
      <c r="D803" s="176" t="e">
        <f t="shared" si="12"/>
        <v>#DIV/0!</v>
      </c>
      <c r="E803" s="116"/>
    </row>
    <row r="804" spans="1:5" ht="19.5" customHeight="1">
      <c r="A804" s="116" t="s">
        <v>82</v>
      </c>
      <c r="B804" s="116"/>
      <c r="C804" s="116"/>
      <c r="D804" s="176" t="e">
        <f t="shared" si="12"/>
        <v>#DIV/0!</v>
      </c>
      <c r="E804" s="116"/>
    </row>
    <row r="805" spans="1:5" ht="19.5" customHeight="1">
      <c r="A805" s="116" t="s">
        <v>642</v>
      </c>
      <c r="B805" s="116"/>
      <c r="C805" s="116"/>
      <c r="D805" s="176" t="e">
        <f t="shared" si="12"/>
        <v>#DIV/0!</v>
      </c>
      <c r="E805" s="116"/>
    </row>
    <row r="806" spans="1:5" ht="19.5" customHeight="1">
      <c r="A806" s="116" t="s">
        <v>48</v>
      </c>
      <c r="B806" s="116"/>
      <c r="C806" s="116"/>
      <c r="D806" s="176" t="e">
        <f t="shared" si="12"/>
        <v>#DIV/0!</v>
      </c>
      <c r="E806" s="116"/>
    </row>
    <row r="807" spans="1:5" ht="19.5" customHeight="1">
      <c r="A807" s="116" t="s">
        <v>643</v>
      </c>
      <c r="B807" s="116"/>
      <c r="C807" s="116"/>
      <c r="D807" s="176" t="e">
        <f t="shared" si="12"/>
        <v>#DIV/0!</v>
      </c>
      <c r="E807" s="116"/>
    </row>
    <row r="808" spans="1:5" ht="19.5" customHeight="1">
      <c r="A808" s="116" t="s">
        <v>644</v>
      </c>
      <c r="B808" s="116"/>
      <c r="C808" s="116">
        <v>600</v>
      </c>
      <c r="D808" s="176" t="e">
        <f t="shared" si="12"/>
        <v>#DIV/0!</v>
      </c>
      <c r="E808" s="116"/>
    </row>
    <row r="809" spans="1:5" ht="19.5" customHeight="1">
      <c r="A809" s="116" t="s">
        <v>645</v>
      </c>
      <c r="B809" s="116">
        <f>SUM(B810,B822,B823,B826,B827,B828)</f>
        <v>4555</v>
      </c>
      <c r="C809" s="114">
        <f>C810+C822+C823+C826+C827+C828</f>
        <v>1625</v>
      </c>
      <c r="D809" s="176">
        <f t="shared" si="12"/>
        <v>35.67508232711306</v>
      </c>
      <c r="E809" s="116"/>
    </row>
    <row r="810" spans="1:5" ht="19.5" customHeight="1">
      <c r="A810" s="116" t="s">
        <v>646</v>
      </c>
      <c r="B810" s="116">
        <f>SUM(B811:B821)</f>
        <v>1117</v>
      </c>
      <c r="C810" s="114">
        <f>SUM(C811:C821)</f>
        <v>681</v>
      </c>
      <c r="D810" s="176">
        <f t="shared" si="12"/>
        <v>60.96687555953447</v>
      </c>
      <c r="E810" s="116"/>
    </row>
    <row r="811" spans="1:5" ht="19.5" customHeight="1">
      <c r="A811" s="116" t="s">
        <v>647</v>
      </c>
      <c r="B811" s="116">
        <v>550</v>
      </c>
      <c r="C811" s="116">
        <f>651</f>
        <v>651</v>
      </c>
      <c r="D811" s="176">
        <f t="shared" si="12"/>
        <v>118.36363636363636</v>
      </c>
      <c r="E811" s="116"/>
    </row>
    <row r="812" spans="1:5" ht="19.5" customHeight="1">
      <c r="A812" s="116" t="s">
        <v>648</v>
      </c>
      <c r="B812" s="116">
        <v>379</v>
      </c>
      <c r="C812" s="116"/>
      <c r="D812" s="176">
        <f t="shared" si="12"/>
        <v>0</v>
      </c>
      <c r="E812" s="116"/>
    </row>
    <row r="813" spans="1:5" ht="19.5" customHeight="1">
      <c r="A813" s="116" t="s">
        <v>649</v>
      </c>
      <c r="B813" s="116"/>
      <c r="C813" s="116"/>
      <c r="D813" s="176" t="e">
        <f t="shared" si="12"/>
        <v>#DIV/0!</v>
      </c>
      <c r="E813" s="116"/>
    </row>
    <row r="814" spans="1:5" ht="19.5" customHeight="1">
      <c r="A814" s="116" t="s">
        <v>650</v>
      </c>
      <c r="B814" s="116"/>
      <c r="C814" s="116"/>
      <c r="D814" s="176" t="e">
        <f t="shared" si="12"/>
        <v>#DIV/0!</v>
      </c>
      <c r="E814" s="116"/>
    </row>
    <row r="815" spans="1:5" ht="19.5" customHeight="1">
      <c r="A815" s="116" t="s">
        <v>651</v>
      </c>
      <c r="B815" s="116"/>
      <c r="C815" s="116"/>
      <c r="D815" s="176" t="e">
        <f t="shared" si="12"/>
        <v>#DIV/0!</v>
      </c>
      <c r="E815" s="116"/>
    </row>
    <row r="816" spans="1:5" ht="19.5" customHeight="1">
      <c r="A816" s="116" t="s">
        <v>652</v>
      </c>
      <c r="B816" s="116"/>
      <c r="C816" s="116"/>
      <c r="D816" s="176" t="e">
        <f t="shared" si="12"/>
        <v>#DIV/0!</v>
      </c>
      <c r="E816" s="116"/>
    </row>
    <row r="817" spans="1:5" ht="19.5" customHeight="1">
      <c r="A817" s="116" t="s">
        <v>653</v>
      </c>
      <c r="B817" s="116">
        <v>30</v>
      </c>
      <c r="C817" s="116"/>
      <c r="D817" s="176">
        <f t="shared" si="12"/>
        <v>0</v>
      </c>
      <c r="E817" s="116"/>
    </row>
    <row r="818" spans="1:5" ht="19.5" customHeight="1">
      <c r="A818" s="116" t="s">
        <v>654</v>
      </c>
      <c r="B818" s="116"/>
      <c r="C818" s="116"/>
      <c r="D818" s="176" t="e">
        <f t="shared" si="12"/>
        <v>#DIV/0!</v>
      </c>
      <c r="E818" s="116"/>
    </row>
    <row r="819" spans="1:5" ht="19.5" customHeight="1">
      <c r="A819" s="116" t="s">
        <v>655</v>
      </c>
      <c r="B819" s="116"/>
      <c r="C819" s="116"/>
      <c r="D819" s="176" t="e">
        <f t="shared" si="12"/>
        <v>#DIV/0!</v>
      </c>
      <c r="E819" s="116"/>
    </row>
    <row r="820" spans="1:5" ht="19.5" customHeight="1">
      <c r="A820" s="116" t="s">
        <v>656</v>
      </c>
      <c r="B820" s="116"/>
      <c r="C820" s="116"/>
      <c r="D820" s="176" t="e">
        <f t="shared" si="12"/>
        <v>#DIV/0!</v>
      </c>
      <c r="E820" s="116"/>
    </row>
    <row r="821" spans="1:5" ht="19.5" customHeight="1">
      <c r="A821" s="116" t="s">
        <v>657</v>
      </c>
      <c r="B821" s="116">
        <v>158</v>
      </c>
      <c r="C821" s="116">
        <f>30</f>
        <v>30</v>
      </c>
      <c r="D821" s="176">
        <f t="shared" si="12"/>
        <v>18.9873417721519</v>
      </c>
      <c r="E821" s="116"/>
    </row>
    <row r="822" spans="1:5" ht="19.5" customHeight="1">
      <c r="A822" s="116" t="s">
        <v>658</v>
      </c>
      <c r="B822" s="116">
        <v>12</v>
      </c>
      <c r="C822" s="116"/>
      <c r="D822" s="176">
        <f t="shared" si="12"/>
        <v>0</v>
      </c>
      <c r="E822" s="116"/>
    </row>
    <row r="823" spans="1:5" ht="18.75" customHeight="1">
      <c r="A823" s="116" t="s">
        <v>659</v>
      </c>
      <c r="B823" s="116">
        <f>SUM(B824:B825)</f>
        <v>2789</v>
      </c>
      <c r="C823" s="114">
        <f>SUM(C824:C825)</f>
        <v>470</v>
      </c>
      <c r="D823" s="176">
        <f t="shared" si="12"/>
        <v>16.851918250268913</v>
      </c>
      <c r="E823" s="116"/>
    </row>
    <row r="824" spans="1:5" ht="19.5" customHeight="1">
      <c r="A824" s="116" t="s">
        <v>660</v>
      </c>
      <c r="B824" s="116"/>
      <c r="C824" s="116"/>
      <c r="D824" s="176" t="e">
        <f t="shared" si="12"/>
        <v>#DIV/0!</v>
      </c>
      <c r="E824" s="116"/>
    </row>
    <row r="825" spans="1:5" ht="19.5" customHeight="1">
      <c r="A825" s="116" t="s">
        <v>661</v>
      </c>
      <c r="B825" s="116">
        <v>2789</v>
      </c>
      <c r="C825" s="116">
        <f>459+11</f>
        <v>470</v>
      </c>
      <c r="D825" s="176">
        <f t="shared" si="12"/>
        <v>16.851918250268913</v>
      </c>
      <c r="E825" s="116"/>
    </row>
    <row r="826" spans="1:5" ht="19.5" customHeight="1">
      <c r="A826" s="116" t="s">
        <v>662</v>
      </c>
      <c r="B826" s="116">
        <v>477</v>
      </c>
      <c r="C826" s="116">
        <f>471</f>
        <v>471</v>
      </c>
      <c r="D826" s="176">
        <f t="shared" si="12"/>
        <v>98.74213836477988</v>
      </c>
      <c r="E826" s="116"/>
    </row>
    <row r="827" spans="1:5" ht="19.5" customHeight="1">
      <c r="A827" s="116" t="s">
        <v>663</v>
      </c>
      <c r="B827" s="116"/>
      <c r="C827" s="116"/>
      <c r="D827" s="176" t="e">
        <f t="shared" si="12"/>
        <v>#DIV/0!</v>
      </c>
      <c r="E827" s="116"/>
    </row>
    <row r="828" spans="1:5" ht="19.5" customHeight="1">
      <c r="A828" s="116" t="s">
        <v>664</v>
      </c>
      <c r="B828" s="116">
        <v>160</v>
      </c>
      <c r="C828" s="116">
        <f>3</f>
        <v>3</v>
      </c>
      <c r="D828" s="176">
        <f t="shared" si="12"/>
        <v>1.875</v>
      </c>
      <c r="E828" s="116"/>
    </row>
    <row r="829" spans="1:5" ht="19.5" customHeight="1">
      <c r="A829" s="116" t="s">
        <v>665</v>
      </c>
      <c r="B829" s="116">
        <f>SUM(B830,B856,B884,,B911,B922,B933,B939,B946,B953,B957)</f>
        <v>31717</v>
      </c>
      <c r="C829" s="114">
        <f>C830+C856+C884+C911+C922+C933+C939+C946+C953+C957</f>
        <v>20227</v>
      </c>
      <c r="D829" s="176">
        <f t="shared" si="12"/>
        <v>63.77337074754863</v>
      </c>
      <c r="E829" s="116"/>
    </row>
    <row r="830" spans="1:5" ht="19.5" customHeight="1">
      <c r="A830" s="116" t="s">
        <v>666</v>
      </c>
      <c r="B830" s="116">
        <f>SUM(B831:B855)</f>
        <v>8544</v>
      </c>
      <c r="C830" s="114">
        <f>SUM(C831:C855)</f>
        <v>5517</v>
      </c>
      <c r="D830" s="176">
        <f t="shared" si="12"/>
        <v>64.57162921348315</v>
      </c>
      <c r="E830" s="116"/>
    </row>
    <row r="831" spans="1:5" ht="19.5" customHeight="1">
      <c r="A831" s="116" t="s">
        <v>647</v>
      </c>
      <c r="B831" s="116">
        <v>529</v>
      </c>
      <c r="C831" s="116">
        <f>544</f>
        <v>544</v>
      </c>
      <c r="D831" s="176">
        <f t="shared" si="12"/>
        <v>102.83553875236295</v>
      </c>
      <c r="E831" s="116"/>
    </row>
    <row r="832" spans="1:5" ht="19.5" customHeight="1">
      <c r="A832" s="116" t="s">
        <v>648</v>
      </c>
      <c r="B832" s="116"/>
      <c r="C832" s="116"/>
      <c r="D832" s="176" t="e">
        <f t="shared" si="12"/>
        <v>#DIV/0!</v>
      </c>
      <c r="E832" s="116"/>
    </row>
    <row r="833" spans="1:5" ht="19.5" customHeight="1">
      <c r="A833" s="116" t="s">
        <v>649</v>
      </c>
      <c r="B833" s="116"/>
      <c r="C833" s="116"/>
      <c r="D833" s="176" t="e">
        <f t="shared" si="12"/>
        <v>#DIV/0!</v>
      </c>
      <c r="E833" s="116"/>
    </row>
    <row r="834" spans="1:5" ht="19.5" customHeight="1">
      <c r="A834" s="116" t="s">
        <v>667</v>
      </c>
      <c r="B834" s="116">
        <v>1166</v>
      </c>
      <c r="C834" s="116">
        <f>1195</f>
        <v>1195</v>
      </c>
      <c r="D834" s="176">
        <f t="shared" si="12"/>
        <v>102.48713550600344</v>
      </c>
      <c r="E834" s="116"/>
    </row>
    <row r="835" spans="1:5" ht="19.5" customHeight="1">
      <c r="A835" s="116" t="s">
        <v>668</v>
      </c>
      <c r="B835" s="116"/>
      <c r="C835" s="116"/>
      <c r="D835" s="176" t="e">
        <f t="shared" si="12"/>
        <v>#DIV/0!</v>
      </c>
      <c r="E835" s="116"/>
    </row>
    <row r="836" spans="1:5" ht="19.5" customHeight="1">
      <c r="A836" s="116" t="s">
        <v>669</v>
      </c>
      <c r="B836" s="116">
        <v>751</v>
      </c>
      <c r="C836" s="116">
        <f>7</f>
        <v>7</v>
      </c>
      <c r="D836" s="176">
        <f t="shared" si="12"/>
        <v>0.9320905459387484</v>
      </c>
      <c r="E836" s="116"/>
    </row>
    <row r="837" spans="1:5" ht="19.5" customHeight="1">
      <c r="A837" s="116" t="s">
        <v>670</v>
      </c>
      <c r="B837" s="116">
        <v>65</v>
      </c>
      <c r="C837" s="116">
        <f>44</f>
        <v>44</v>
      </c>
      <c r="D837" s="176">
        <f aca="true" t="shared" si="13" ref="D837:D900">C837/B837*100</f>
        <v>67.6923076923077</v>
      </c>
      <c r="E837" s="116"/>
    </row>
    <row r="838" spans="1:5" ht="19.5" customHeight="1">
      <c r="A838" s="116" t="s">
        <v>671</v>
      </c>
      <c r="B838" s="116"/>
      <c r="C838" s="116"/>
      <c r="D838" s="176" t="e">
        <f t="shared" si="13"/>
        <v>#DIV/0!</v>
      </c>
      <c r="E838" s="116"/>
    </row>
    <row r="839" spans="1:5" ht="19.5" customHeight="1">
      <c r="A839" s="116" t="s">
        <v>672</v>
      </c>
      <c r="B839" s="116">
        <v>6</v>
      </c>
      <c r="C839" s="116">
        <f>9</f>
        <v>9</v>
      </c>
      <c r="D839" s="176">
        <f t="shared" si="13"/>
        <v>150</v>
      </c>
      <c r="E839" s="116"/>
    </row>
    <row r="840" spans="1:5" ht="19.5" customHeight="1">
      <c r="A840" s="116" t="s">
        <v>673</v>
      </c>
      <c r="B840" s="116"/>
      <c r="C840" s="116"/>
      <c r="D840" s="176" t="e">
        <f t="shared" si="13"/>
        <v>#DIV/0!</v>
      </c>
      <c r="E840" s="116"/>
    </row>
    <row r="841" spans="1:5" ht="19.5" customHeight="1">
      <c r="A841" s="116" t="s">
        <v>674</v>
      </c>
      <c r="B841" s="116"/>
      <c r="C841" s="116"/>
      <c r="D841" s="176" t="e">
        <f t="shared" si="13"/>
        <v>#DIV/0!</v>
      </c>
      <c r="E841" s="116"/>
    </row>
    <row r="842" spans="1:5" ht="19.5" customHeight="1">
      <c r="A842" s="116" t="s">
        <v>675</v>
      </c>
      <c r="B842" s="116"/>
      <c r="C842" s="116"/>
      <c r="D842" s="176" t="e">
        <f t="shared" si="13"/>
        <v>#DIV/0!</v>
      </c>
      <c r="E842" s="116"/>
    </row>
    <row r="843" spans="1:5" ht="19.5" customHeight="1">
      <c r="A843" s="116" t="s">
        <v>676</v>
      </c>
      <c r="B843" s="116"/>
      <c r="C843" s="116"/>
      <c r="D843" s="176" t="e">
        <f t="shared" si="13"/>
        <v>#DIV/0!</v>
      </c>
      <c r="E843" s="116"/>
    </row>
    <row r="844" spans="1:5" ht="19.5" customHeight="1">
      <c r="A844" s="116" t="s">
        <v>677</v>
      </c>
      <c r="B844" s="116"/>
      <c r="C844" s="116"/>
      <c r="D844" s="176" t="e">
        <f t="shared" si="13"/>
        <v>#DIV/0!</v>
      </c>
      <c r="E844" s="116"/>
    </row>
    <row r="845" spans="1:5" ht="19.5" customHeight="1">
      <c r="A845" s="116" t="s">
        <v>678</v>
      </c>
      <c r="B845" s="116"/>
      <c r="C845" s="116"/>
      <c r="D845" s="176" t="e">
        <f t="shared" si="13"/>
        <v>#DIV/0!</v>
      </c>
      <c r="E845" s="116"/>
    </row>
    <row r="846" spans="1:5" ht="19.5" customHeight="1">
      <c r="A846" s="116" t="s">
        <v>679</v>
      </c>
      <c r="B846" s="116">
        <v>861</v>
      </c>
      <c r="C846" s="116">
        <f>10+155</f>
        <v>165</v>
      </c>
      <c r="D846" s="176">
        <f t="shared" si="13"/>
        <v>19.16376306620209</v>
      </c>
      <c r="E846" s="116"/>
    </row>
    <row r="847" spans="1:5" ht="19.5" customHeight="1">
      <c r="A847" s="116" t="s">
        <v>680</v>
      </c>
      <c r="B847" s="116">
        <v>46</v>
      </c>
      <c r="C847" s="116"/>
      <c r="D847" s="176">
        <f t="shared" si="13"/>
        <v>0</v>
      </c>
      <c r="E847" s="116"/>
    </row>
    <row r="848" spans="1:5" ht="19.5" customHeight="1">
      <c r="A848" s="116" t="s">
        <v>681</v>
      </c>
      <c r="B848" s="116"/>
      <c r="C848" s="116"/>
      <c r="D848" s="176" t="e">
        <f t="shared" si="13"/>
        <v>#DIV/0!</v>
      </c>
      <c r="E848" s="116"/>
    </row>
    <row r="849" spans="1:5" ht="19.5" customHeight="1">
      <c r="A849" s="116" t="s">
        <v>682</v>
      </c>
      <c r="B849" s="116">
        <v>5</v>
      </c>
      <c r="C849" s="116"/>
      <c r="D849" s="176">
        <f t="shared" si="13"/>
        <v>0</v>
      </c>
      <c r="E849" s="116"/>
    </row>
    <row r="850" spans="1:5" ht="19.5" customHeight="1">
      <c r="A850" s="116" t="s">
        <v>683</v>
      </c>
      <c r="B850" s="116"/>
      <c r="C850" s="116"/>
      <c r="D850" s="176" t="e">
        <f t="shared" si="13"/>
        <v>#DIV/0!</v>
      </c>
      <c r="E850" s="116"/>
    </row>
    <row r="851" spans="1:5" ht="19.5" customHeight="1">
      <c r="A851" s="116" t="s">
        <v>684</v>
      </c>
      <c r="B851" s="116"/>
      <c r="C851" s="116"/>
      <c r="D851" s="176" t="e">
        <f t="shared" si="13"/>
        <v>#DIV/0!</v>
      </c>
      <c r="E851" s="116"/>
    </row>
    <row r="852" spans="1:5" ht="19.5" customHeight="1">
      <c r="A852" s="116" t="s">
        <v>685</v>
      </c>
      <c r="B852" s="116">
        <v>1483</v>
      </c>
      <c r="C852" s="116">
        <f>95+228+824</f>
        <v>1147</v>
      </c>
      <c r="D852" s="176">
        <f t="shared" si="13"/>
        <v>77.34322319622387</v>
      </c>
      <c r="E852" s="116"/>
    </row>
    <row r="853" spans="1:5" ht="19.5" customHeight="1">
      <c r="A853" s="116" t="s">
        <v>686</v>
      </c>
      <c r="B853" s="116"/>
      <c r="C853" s="116"/>
      <c r="D853" s="176" t="e">
        <f t="shared" si="13"/>
        <v>#DIV/0!</v>
      </c>
      <c r="E853" s="116"/>
    </row>
    <row r="854" spans="1:5" ht="19.5" customHeight="1">
      <c r="A854" s="116" t="s">
        <v>687</v>
      </c>
      <c r="B854" s="116"/>
      <c r="C854" s="116"/>
      <c r="D854" s="176" t="e">
        <f t="shared" si="13"/>
        <v>#DIV/0!</v>
      </c>
      <c r="E854" s="116"/>
    </row>
    <row r="855" spans="1:5" ht="19.5" customHeight="1">
      <c r="A855" s="116" t="s">
        <v>688</v>
      </c>
      <c r="B855" s="116">
        <v>3632</v>
      </c>
      <c r="C855" s="116">
        <f>1568+586+252</f>
        <v>2406</v>
      </c>
      <c r="D855" s="176">
        <f t="shared" si="13"/>
        <v>66.24449339207048</v>
      </c>
      <c r="E855" s="116"/>
    </row>
    <row r="856" spans="1:5" ht="19.5" customHeight="1">
      <c r="A856" s="116" t="s">
        <v>689</v>
      </c>
      <c r="B856" s="116">
        <f>SUM(B857:B883)</f>
        <v>4161</v>
      </c>
      <c r="C856" s="114">
        <f>SUM(C857:C883)</f>
        <v>3074</v>
      </c>
      <c r="D856" s="176">
        <f t="shared" si="13"/>
        <v>73.87647200192261</v>
      </c>
      <c r="E856" s="116"/>
    </row>
    <row r="857" spans="1:5" ht="19.5" customHeight="1">
      <c r="A857" s="116" t="s">
        <v>647</v>
      </c>
      <c r="B857" s="116">
        <v>434</v>
      </c>
      <c r="C857" s="116">
        <f>463</f>
        <v>463</v>
      </c>
      <c r="D857" s="176">
        <f t="shared" si="13"/>
        <v>106.6820276497696</v>
      </c>
      <c r="E857" s="116"/>
    </row>
    <row r="858" spans="1:5" ht="19.5" customHeight="1">
      <c r="A858" s="116" t="s">
        <v>648</v>
      </c>
      <c r="B858" s="116">
        <v>40</v>
      </c>
      <c r="C858" s="116">
        <f>38</f>
        <v>38</v>
      </c>
      <c r="D858" s="176">
        <f t="shared" si="13"/>
        <v>95</v>
      </c>
      <c r="E858" s="116"/>
    </row>
    <row r="859" spans="1:5" ht="19.5" customHeight="1">
      <c r="A859" s="116" t="s">
        <v>649</v>
      </c>
      <c r="B859" s="116"/>
      <c r="C859" s="116"/>
      <c r="D859" s="176" t="e">
        <f t="shared" si="13"/>
        <v>#DIV/0!</v>
      </c>
      <c r="E859" s="116"/>
    </row>
    <row r="860" spans="1:5" ht="19.5" customHeight="1">
      <c r="A860" s="116" t="s">
        <v>690</v>
      </c>
      <c r="B860" s="116">
        <v>56</v>
      </c>
      <c r="C860" s="116">
        <f>63</f>
        <v>63</v>
      </c>
      <c r="D860" s="176">
        <f t="shared" si="13"/>
        <v>112.5</v>
      </c>
      <c r="E860" s="116"/>
    </row>
    <row r="861" spans="1:5" ht="19.5" customHeight="1">
      <c r="A861" s="116" t="s">
        <v>691</v>
      </c>
      <c r="B861" s="116">
        <v>2432</v>
      </c>
      <c r="C861" s="116">
        <f>1388+865+47</f>
        <v>2300</v>
      </c>
      <c r="D861" s="176">
        <f t="shared" si="13"/>
        <v>94.57236842105263</v>
      </c>
      <c r="E861" s="116"/>
    </row>
    <row r="862" spans="1:5" ht="19.5" customHeight="1">
      <c r="A862" s="116" t="s">
        <v>692</v>
      </c>
      <c r="B862" s="116"/>
      <c r="C862" s="116"/>
      <c r="D862" s="176" t="e">
        <f t="shared" si="13"/>
        <v>#DIV/0!</v>
      </c>
      <c r="E862" s="116"/>
    </row>
    <row r="863" spans="1:5" ht="19.5" customHeight="1">
      <c r="A863" s="116" t="s">
        <v>693</v>
      </c>
      <c r="B863" s="116">
        <v>61</v>
      </c>
      <c r="C863" s="116">
        <v>71</v>
      </c>
      <c r="D863" s="176">
        <f t="shared" si="13"/>
        <v>116.39344262295081</v>
      </c>
      <c r="E863" s="116"/>
    </row>
    <row r="864" spans="1:5" ht="19.5" customHeight="1">
      <c r="A864" s="116" t="s">
        <v>694</v>
      </c>
      <c r="B864" s="116"/>
      <c r="C864" s="116"/>
      <c r="D864" s="176" t="e">
        <f t="shared" si="13"/>
        <v>#DIV/0!</v>
      </c>
      <c r="E864" s="116"/>
    </row>
    <row r="865" spans="1:5" ht="19.5" customHeight="1">
      <c r="A865" s="116" t="s">
        <v>695</v>
      </c>
      <c r="B865" s="116">
        <v>514</v>
      </c>
      <c r="C865" s="116"/>
      <c r="D865" s="176">
        <f t="shared" si="13"/>
        <v>0</v>
      </c>
      <c r="E865" s="116"/>
    </row>
    <row r="866" spans="1:5" ht="19.5" customHeight="1">
      <c r="A866" s="116" t="s">
        <v>696</v>
      </c>
      <c r="B866" s="116"/>
      <c r="C866" s="116"/>
      <c r="D866" s="176" t="e">
        <f t="shared" si="13"/>
        <v>#DIV/0!</v>
      </c>
      <c r="E866" s="116"/>
    </row>
    <row r="867" spans="1:5" ht="19.5" customHeight="1">
      <c r="A867" s="116" t="s">
        <v>697</v>
      </c>
      <c r="B867" s="116"/>
      <c r="C867" s="116"/>
      <c r="D867" s="176" t="e">
        <f t="shared" si="13"/>
        <v>#DIV/0!</v>
      </c>
      <c r="E867" s="116"/>
    </row>
    <row r="868" spans="1:5" ht="19.5" customHeight="1">
      <c r="A868" s="116" t="s">
        <v>698</v>
      </c>
      <c r="B868" s="116"/>
      <c r="C868" s="116"/>
      <c r="D868" s="176" t="e">
        <f t="shared" si="13"/>
        <v>#DIV/0!</v>
      </c>
      <c r="E868" s="116"/>
    </row>
    <row r="869" spans="1:5" ht="19.5" customHeight="1">
      <c r="A869" s="116" t="s">
        <v>699</v>
      </c>
      <c r="B869" s="116">
        <v>2</v>
      </c>
      <c r="C869" s="116"/>
      <c r="D869" s="176">
        <f t="shared" si="13"/>
        <v>0</v>
      </c>
      <c r="E869" s="116"/>
    </row>
    <row r="870" spans="1:5" ht="19.5" customHeight="1">
      <c r="A870" s="116" t="s">
        <v>700</v>
      </c>
      <c r="B870" s="116"/>
      <c r="C870" s="116"/>
      <c r="D870" s="176" t="e">
        <f t="shared" si="13"/>
        <v>#DIV/0!</v>
      </c>
      <c r="E870" s="116"/>
    </row>
    <row r="871" spans="1:5" ht="19.5" customHeight="1">
      <c r="A871" s="116" t="s">
        <v>701</v>
      </c>
      <c r="B871" s="116"/>
      <c r="C871" s="116"/>
      <c r="D871" s="176" t="e">
        <f t="shared" si="13"/>
        <v>#DIV/0!</v>
      </c>
      <c r="E871" s="116"/>
    </row>
    <row r="872" spans="1:5" ht="19.5" customHeight="1">
      <c r="A872" s="116" t="s">
        <v>702</v>
      </c>
      <c r="B872" s="116"/>
      <c r="C872" s="116"/>
      <c r="D872" s="176" t="e">
        <f t="shared" si="13"/>
        <v>#DIV/0!</v>
      </c>
      <c r="E872" s="116"/>
    </row>
    <row r="873" spans="1:5" ht="19.5" customHeight="1">
      <c r="A873" s="116" t="s">
        <v>703</v>
      </c>
      <c r="B873" s="116"/>
      <c r="C873" s="116"/>
      <c r="D873" s="176" t="e">
        <f t="shared" si="13"/>
        <v>#DIV/0!</v>
      </c>
      <c r="E873" s="116"/>
    </row>
    <row r="874" spans="1:5" ht="19.5" customHeight="1">
      <c r="A874" s="116" t="s">
        <v>704</v>
      </c>
      <c r="B874" s="116"/>
      <c r="C874" s="116"/>
      <c r="D874" s="176" t="e">
        <f t="shared" si="13"/>
        <v>#DIV/0!</v>
      </c>
      <c r="E874" s="116"/>
    </row>
    <row r="875" spans="1:5" ht="19.5" customHeight="1">
      <c r="A875" s="116" t="s">
        <v>705</v>
      </c>
      <c r="B875" s="116"/>
      <c r="C875" s="116"/>
      <c r="D875" s="176" t="e">
        <f t="shared" si="13"/>
        <v>#DIV/0!</v>
      </c>
      <c r="E875" s="116"/>
    </row>
    <row r="876" spans="1:5" ht="19.5" customHeight="1">
      <c r="A876" s="116" t="s">
        <v>706</v>
      </c>
      <c r="B876" s="116"/>
      <c r="C876" s="116"/>
      <c r="D876" s="176" t="e">
        <f t="shared" si="13"/>
        <v>#DIV/0!</v>
      </c>
      <c r="E876" s="116"/>
    </row>
    <row r="877" spans="1:5" ht="20.25" customHeight="1">
      <c r="A877" s="116" t="s">
        <v>707</v>
      </c>
      <c r="B877" s="116"/>
      <c r="C877" s="116"/>
      <c r="D877" s="176" t="e">
        <f t="shared" si="13"/>
        <v>#DIV/0!</v>
      </c>
      <c r="E877" s="116"/>
    </row>
    <row r="878" spans="1:5" ht="19.5" customHeight="1">
      <c r="A878" s="116" t="s">
        <v>708</v>
      </c>
      <c r="B878" s="116"/>
      <c r="C878" s="116"/>
      <c r="D878" s="176" t="e">
        <f t="shared" si="13"/>
        <v>#DIV/0!</v>
      </c>
      <c r="E878" s="116"/>
    </row>
    <row r="879" spans="1:5" ht="19.5" customHeight="1">
      <c r="A879" s="116" t="s">
        <v>709</v>
      </c>
      <c r="B879" s="116"/>
      <c r="C879" s="116"/>
      <c r="D879" s="176" t="e">
        <f t="shared" si="13"/>
        <v>#DIV/0!</v>
      </c>
      <c r="E879" s="116"/>
    </row>
    <row r="880" spans="1:5" ht="19.5" customHeight="1">
      <c r="A880" s="116" t="s">
        <v>710</v>
      </c>
      <c r="B880" s="116"/>
      <c r="C880" s="116"/>
      <c r="D880" s="176" t="e">
        <f t="shared" si="13"/>
        <v>#DIV/0!</v>
      </c>
      <c r="E880" s="116"/>
    </row>
    <row r="881" spans="1:5" ht="19.5" customHeight="1">
      <c r="A881" s="116" t="s">
        <v>711</v>
      </c>
      <c r="B881" s="116"/>
      <c r="C881" s="116"/>
      <c r="D881" s="176" t="e">
        <f t="shared" si="13"/>
        <v>#DIV/0!</v>
      </c>
      <c r="E881" s="116"/>
    </row>
    <row r="882" spans="1:5" ht="19.5" customHeight="1">
      <c r="A882" s="116" t="s">
        <v>712</v>
      </c>
      <c r="B882" s="116">
        <v>32</v>
      </c>
      <c r="C882" s="116">
        <f>10+20</f>
        <v>30</v>
      </c>
      <c r="D882" s="176">
        <f t="shared" si="13"/>
        <v>93.75</v>
      </c>
      <c r="E882" s="116"/>
    </row>
    <row r="883" spans="1:5" ht="19.5" customHeight="1">
      <c r="A883" s="116" t="s">
        <v>713</v>
      </c>
      <c r="B883" s="116">
        <v>590</v>
      </c>
      <c r="C883" s="116">
        <f>109</f>
        <v>109</v>
      </c>
      <c r="D883" s="176">
        <f t="shared" si="13"/>
        <v>18.47457627118644</v>
      </c>
      <c r="E883" s="116"/>
    </row>
    <row r="884" spans="1:5" ht="19.5" customHeight="1">
      <c r="A884" s="116" t="s">
        <v>714</v>
      </c>
      <c r="B884" s="116">
        <f>SUM(B885:B910)</f>
        <v>5291</v>
      </c>
      <c r="C884" s="114">
        <f>SUM(C885:C910)</f>
        <v>2413</v>
      </c>
      <c r="D884" s="176">
        <f t="shared" si="13"/>
        <v>45.605745605745604</v>
      </c>
      <c r="E884" s="116"/>
    </row>
    <row r="885" spans="1:5" ht="19.5" customHeight="1">
      <c r="A885" s="116" t="s">
        <v>647</v>
      </c>
      <c r="B885" s="116">
        <v>595</v>
      </c>
      <c r="C885" s="116">
        <f>603</f>
        <v>603</v>
      </c>
      <c r="D885" s="176">
        <f t="shared" si="13"/>
        <v>101.34453781512605</v>
      </c>
      <c r="E885" s="116"/>
    </row>
    <row r="886" spans="1:5" ht="19.5" customHeight="1">
      <c r="A886" s="116" t="s">
        <v>648</v>
      </c>
      <c r="B886" s="116">
        <v>40</v>
      </c>
      <c r="C886" s="116">
        <f>60</f>
        <v>60</v>
      </c>
      <c r="D886" s="176">
        <f t="shared" si="13"/>
        <v>150</v>
      </c>
      <c r="E886" s="116"/>
    </row>
    <row r="887" spans="1:5" ht="19.5" customHeight="1">
      <c r="A887" s="116" t="s">
        <v>649</v>
      </c>
      <c r="B887" s="116"/>
      <c r="C887" s="116"/>
      <c r="D887" s="176" t="e">
        <f t="shared" si="13"/>
        <v>#DIV/0!</v>
      </c>
      <c r="E887" s="116"/>
    </row>
    <row r="888" spans="1:5" ht="19.5" customHeight="1">
      <c r="A888" s="116" t="s">
        <v>715</v>
      </c>
      <c r="B888" s="116"/>
      <c r="C888" s="116"/>
      <c r="D888" s="176" t="e">
        <f t="shared" si="13"/>
        <v>#DIV/0!</v>
      </c>
      <c r="E888" s="116"/>
    </row>
    <row r="889" spans="1:5" ht="19.5" customHeight="1">
      <c r="A889" s="116" t="s">
        <v>716</v>
      </c>
      <c r="B889" s="116">
        <v>904</v>
      </c>
      <c r="C889" s="116">
        <f>700+635</f>
        <v>1335</v>
      </c>
      <c r="D889" s="176">
        <f t="shared" si="13"/>
        <v>147.6769911504425</v>
      </c>
      <c r="E889" s="116"/>
    </row>
    <row r="890" spans="1:5" ht="19.5" customHeight="1">
      <c r="A890" s="116" t="s">
        <v>717</v>
      </c>
      <c r="B890" s="116">
        <v>21</v>
      </c>
      <c r="C890" s="116">
        <f>28</f>
        <v>28</v>
      </c>
      <c r="D890" s="176">
        <f t="shared" si="13"/>
        <v>133.33333333333331</v>
      </c>
      <c r="E890" s="116"/>
    </row>
    <row r="891" spans="1:5" ht="19.5" customHeight="1">
      <c r="A891" s="116" t="s">
        <v>718</v>
      </c>
      <c r="B891" s="116"/>
      <c r="C891" s="116"/>
      <c r="D891" s="176" t="e">
        <f t="shared" si="13"/>
        <v>#DIV/0!</v>
      </c>
      <c r="E891" s="116"/>
    </row>
    <row r="892" spans="1:5" ht="19.5" customHeight="1">
      <c r="A892" s="116" t="s">
        <v>719</v>
      </c>
      <c r="B892" s="116">
        <v>79</v>
      </c>
      <c r="C892" s="116"/>
      <c r="D892" s="176">
        <f t="shared" si="13"/>
        <v>0</v>
      </c>
      <c r="E892" s="116"/>
    </row>
    <row r="893" spans="1:5" ht="19.5" customHeight="1">
      <c r="A893" s="116" t="s">
        <v>720</v>
      </c>
      <c r="B893" s="116"/>
      <c r="C893" s="116"/>
      <c r="D893" s="176" t="e">
        <f t="shared" si="13"/>
        <v>#DIV/0!</v>
      </c>
      <c r="E893" s="116"/>
    </row>
    <row r="894" spans="1:5" ht="19.5" customHeight="1">
      <c r="A894" s="116" t="s">
        <v>721</v>
      </c>
      <c r="B894" s="116">
        <v>837</v>
      </c>
      <c r="C894" s="116">
        <f>233</f>
        <v>233</v>
      </c>
      <c r="D894" s="176">
        <f t="shared" si="13"/>
        <v>27.837514934289125</v>
      </c>
      <c r="E894" s="116"/>
    </row>
    <row r="895" spans="1:5" ht="19.5" customHeight="1">
      <c r="A895" s="116" t="s">
        <v>722</v>
      </c>
      <c r="B895" s="116"/>
      <c r="C895" s="116"/>
      <c r="D895" s="176" t="e">
        <f t="shared" si="13"/>
        <v>#DIV/0!</v>
      </c>
      <c r="E895" s="116"/>
    </row>
    <row r="896" spans="1:5" ht="19.5" customHeight="1">
      <c r="A896" s="116" t="s">
        <v>723</v>
      </c>
      <c r="B896" s="116">
        <v>10</v>
      </c>
      <c r="C896" s="116"/>
      <c r="D896" s="176">
        <f t="shared" si="13"/>
        <v>0</v>
      </c>
      <c r="E896" s="116"/>
    </row>
    <row r="897" spans="1:5" ht="19.5" customHeight="1">
      <c r="A897" s="116" t="s">
        <v>724</v>
      </c>
      <c r="B897" s="116"/>
      <c r="C897" s="116"/>
      <c r="D897" s="176" t="e">
        <f t="shared" si="13"/>
        <v>#DIV/0!</v>
      </c>
      <c r="E897" s="116"/>
    </row>
    <row r="898" spans="1:5" ht="19.5" customHeight="1">
      <c r="A898" s="116" t="s">
        <v>725</v>
      </c>
      <c r="B898" s="116">
        <v>141</v>
      </c>
      <c r="C898" s="116">
        <f>55</f>
        <v>55</v>
      </c>
      <c r="D898" s="176">
        <f t="shared" si="13"/>
        <v>39.00709219858156</v>
      </c>
      <c r="E898" s="116"/>
    </row>
    <row r="899" spans="1:5" ht="19.5" customHeight="1">
      <c r="A899" s="116" t="s">
        <v>726</v>
      </c>
      <c r="B899" s="116">
        <v>65</v>
      </c>
      <c r="C899" s="116">
        <f>30+5</f>
        <v>35</v>
      </c>
      <c r="D899" s="176">
        <f t="shared" si="13"/>
        <v>53.84615384615385</v>
      </c>
      <c r="E899" s="116"/>
    </row>
    <row r="900" spans="1:5" ht="19.5" customHeight="1">
      <c r="A900" s="116" t="s">
        <v>727</v>
      </c>
      <c r="B900" s="116">
        <v>2229</v>
      </c>
      <c r="C900" s="116"/>
      <c r="D900" s="176">
        <f t="shared" si="13"/>
        <v>0</v>
      </c>
      <c r="E900" s="116"/>
    </row>
    <row r="901" spans="1:5" ht="19.5" customHeight="1">
      <c r="A901" s="116" t="s">
        <v>728</v>
      </c>
      <c r="B901" s="116"/>
      <c r="C901" s="116"/>
      <c r="D901" s="176" t="e">
        <f aca="true" t="shared" si="14" ref="D901:D964">C901/B901*100</f>
        <v>#DIV/0!</v>
      </c>
      <c r="E901" s="116"/>
    </row>
    <row r="902" spans="1:5" ht="19.5" customHeight="1">
      <c r="A902" s="116" t="s">
        <v>729</v>
      </c>
      <c r="B902" s="116"/>
      <c r="C902" s="116"/>
      <c r="D902" s="176" t="e">
        <f t="shared" si="14"/>
        <v>#DIV/0!</v>
      </c>
      <c r="E902" s="116"/>
    </row>
    <row r="903" spans="1:5" ht="19.5" customHeight="1">
      <c r="A903" s="116" t="s">
        <v>730</v>
      </c>
      <c r="B903" s="116"/>
      <c r="C903" s="116"/>
      <c r="D903" s="176" t="e">
        <f t="shared" si="14"/>
        <v>#DIV/0!</v>
      </c>
      <c r="E903" s="116"/>
    </row>
    <row r="904" spans="1:5" ht="19.5" customHeight="1">
      <c r="A904" s="116" t="s">
        <v>731</v>
      </c>
      <c r="B904" s="116"/>
      <c r="C904" s="116"/>
      <c r="D904" s="176" t="e">
        <f t="shared" si="14"/>
        <v>#DIV/0!</v>
      </c>
      <c r="E904" s="116"/>
    </row>
    <row r="905" spans="1:5" ht="19.5" customHeight="1">
      <c r="A905" s="116" t="s">
        <v>732</v>
      </c>
      <c r="B905" s="116"/>
      <c r="C905" s="116"/>
      <c r="D905" s="176" t="e">
        <f t="shared" si="14"/>
        <v>#DIV/0!</v>
      </c>
      <c r="E905" s="116"/>
    </row>
    <row r="906" spans="1:5" ht="19.5" customHeight="1">
      <c r="A906" s="116" t="s">
        <v>733</v>
      </c>
      <c r="B906" s="116"/>
      <c r="C906" s="116"/>
      <c r="D906" s="176" t="e">
        <f t="shared" si="14"/>
        <v>#DIV/0!</v>
      </c>
      <c r="E906" s="116"/>
    </row>
    <row r="907" spans="1:5" ht="19.5" customHeight="1">
      <c r="A907" s="116" t="s">
        <v>706</v>
      </c>
      <c r="B907" s="116">
        <v>1</v>
      </c>
      <c r="C907" s="116"/>
      <c r="D907" s="176">
        <f t="shared" si="14"/>
        <v>0</v>
      </c>
      <c r="E907" s="116"/>
    </row>
    <row r="908" spans="1:5" ht="19.5" customHeight="1">
      <c r="A908" s="116" t="s">
        <v>734</v>
      </c>
      <c r="B908" s="116"/>
      <c r="C908" s="116"/>
      <c r="D908" s="176" t="e">
        <f t="shared" si="14"/>
        <v>#DIV/0!</v>
      </c>
      <c r="E908" s="116"/>
    </row>
    <row r="909" spans="1:5" ht="19.5" customHeight="1">
      <c r="A909" s="116" t="s">
        <v>735</v>
      </c>
      <c r="B909" s="116">
        <v>160</v>
      </c>
      <c r="C909" s="116">
        <f>5</f>
        <v>5</v>
      </c>
      <c r="D909" s="176">
        <f t="shared" si="14"/>
        <v>3.125</v>
      </c>
      <c r="E909" s="116"/>
    </row>
    <row r="910" spans="1:5" ht="19.5" customHeight="1">
      <c r="A910" s="116" t="s">
        <v>736</v>
      </c>
      <c r="B910" s="116">
        <f>109+100</f>
        <v>209</v>
      </c>
      <c r="C910" s="116">
        <f>10+49</f>
        <v>59</v>
      </c>
      <c r="D910" s="176">
        <f t="shared" si="14"/>
        <v>28.22966507177033</v>
      </c>
      <c r="E910" s="116"/>
    </row>
    <row r="911" spans="1:5" ht="19.5" customHeight="1">
      <c r="A911" s="116" t="s">
        <v>737</v>
      </c>
      <c r="B911" s="116">
        <f>SUM(B912:B921)</f>
        <v>0</v>
      </c>
      <c r="C911" s="114">
        <f>SUM(C912:C921)</f>
        <v>0</v>
      </c>
      <c r="D911" s="176" t="e">
        <f t="shared" si="14"/>
        <v>#DIV/0!</v>
      </c>
      <c r="E911" s="116"/>
    </row>
    <row r="912" spans="1:5" ht="19.5" customHeight="1">
      <c r="A912" s="116" t="s">
        <v>647</v>
      </c>
      <c r="B912" s="116"/>
      <c r="C912" s="116"/>
      <c r="D912" s="176" t="e">
        <f t="shared" si="14"/>
        <v>#DIV/0!</v>
      </c>
      <c r="E912" s="116"/>
    </row>
    <row r="913" spans="1:5" ht="19.5" customHeight="1">
      <c r="A913" s="116" t="s">
        <v>648</v>
      </c>
      <c r="B913" s="116"/>
      <c r="C913" s="116"/>
      <c r="D913" s="176" t="e">
        <f t="shared" si="14"/>
        <v>#DIV/0!</v>
      </c>
      <c r="E913" s="116"/>
    </row>
    <row r="914" spans="1:5" ht="19.5" customHeight="1">
      <c r="A914" s="116" t="s">
        <v>649</v>
      </c>
      <c r="B914" s="116"/>
      <c r="C914" s="116"/>
      <c r="D914" s="176" t="e">
        <f t="shared" si="14"/>
        <v>#DIV/0!</v>
      </c>
      <c r="E914" s="116"/>
    </row>
    <row r="915" spans="1:5" ht="19.5" customHeight="1">
      <c r="A915" s="116" t="s">
        <v>738</v>
      </c>
      <c r="B915" s="116"/>
      <c r="C915" s="116"/>
      <c r="D915" s="176" t="e">
        <f t="shared" si="14"/>
        <v>#DIV/0!</v>
      </c>
      <c r="E915" s="116"/>
    </row>
    <row r="916" spans="1:5" ht="19.5" customHeight="1">
      <c r="A916" s="116" t="s">
        <v>739</v>
      </c>
      <c r="B916" s="116"/>
      <c r="C916" s="116"/>
      <c r="D916" s="176" t="e">
        <f t="shared" si="14"/>
        <v>#DIV/0!</v>
      </c>
      <c r="E916" s="116"/>
    </row>
    <row r="917" spans="1:5" ht="19.5" customHeight="1">
      <c r="A917" s="116" t="s">
        <v>740</v>
      </c>
      <c r="B917" s="116"/>
      <c r="C917" s="116"/>
      <c r="D917" s="176" t="e">
        <f t="shared" si="14"/>
        <v>#DIV/0!</v>
      </c>
      <c r="E917" s="116"/>
    </row>
    <row r="918" spans="1:5" ht="19.5" customHeight="1">
      <c r="A918" s="116" t="s">
        <v>741</v>
      </c>
      <c r="B918" s="116"/>
      <c r="C918" s="116"/>
      <c r="D918" s="176" t="e">
        <f t="shared" si="14"/>
        <v>#DIV/0!</v>
      </c>
      <c r="E918" s="116"/>
    </row>
    <row r="919" spans="1:5" ht="19.5" customHeight="1">
      <c r="A919" s="116" t="s">
        <v>742</v>
      </c>
      <c r="B919" s="116"/>
      <c r="C919" s="116"/>
      <c r="D919" s="176" t="e">
        <f t="shared" si="14"/>
        <v>#DIV/0!</v>
      </c>
      <c r="E919" s="116"/>
    </row>
    <row r="920" spans="1:5" ht="19.5" customHeight="1">
      <c r="A920" s="116" t="s">
        <v>743</v>
      </c>
      <c r="B920" s="116"/>
      <c r="C920" s="116"/>
      <c r="D920" s="176" t="e">
        <f t="shared" si="14"/>
        <v>#DIV/0!</v>
      </c>
      <c r="E920" s="116"/>
    </row>
    <row r="921" spans="1:5" ht="19.5" customHeight="1">
      <c r="A921" s="116" t="s">
        <v>744</v>
      </c>
      <c r="B921" s="116"/>
      <c r="C921" s="116"/>
      <c r="D921" s="176" t="e">
        <f t="shared" si="14"/>
        <v>#DIV/0!</v>
      </c>
      <c r="E921" s="116"/>
    </row>
    <row r="922" spans="1:5" ht="19.5" customHeight="1">
      <c r="A922" s="116" t="s">
        <v>745</v>
      </c>
      <c r="B922" s="116">
        <f>SUM(B923:B932)</f>
        <v>5655</v>
      </c>
      <c r="C922" s="114">
        <f>SUM(C923:C932)</f>
        <v>4064</v>
      </c>
      <c r="D922" s="176">
        <f t="shared" si="14"/>
        <v>71.86560565870911</v>
      </c>
      <c r="E922" s="116"/>
    </row>
    <row r="923" spans="1:5" ht="19.5" customHeight="1">
      <c r="A923" s="116" t="s">
        <v>647</v>
      </c>
      <c r="B923" s="116"/>
      <c r="C923" s="116"/>
      <c r="D923" s="176" t="e">
        <f t="shared" si="14"/>
        <v>#DIV/0!</v>
      </c>
      <c r="E923" s="116"/>
    </row>
    <row r="924" spans="1:5" ht="19.5" customHeight="1">
      <c r="A924" s="116" t="s">
        <v>648</v>
      </c>
      <c r="B924" s="116"/>
      <c r="C924" s="116"/>
      <c r="D924" s="176" t="e">
        <f t="shared" si="14"/>
        <v>#DIV/0!</v>
      </c>
      <c r="E924" s="116"/>
    </row>
    <row r="925" spans="1:5" ht="19.5" customHeight="1">
      <c r="A925" s="116" t="s">
        <v>649</v>
      </c>
      <c r="B925" s="116"/>
      <c r="C925" s="116"/>
      <c r="D925" s="176" t="e">
        <f t="shared" si="14"/>
        <v>#DIV/0!</v>
      </c>
      <c r="E925" s="116"/>
    </row>
    <row r="926" spans="1:5" ht="19.5" customHeight="1">
      <c r="A926" s="116" t="s">
        <v>746</v>
      </c>
      <c r="B926" s="116">
        <v>1539</v>
      </c>
      <c r="C926" s="116">
        <f>3459+390</f>
        <v>3849</v>
      </c>
      <c r="D926" s="176">
        <f t="shared" si="14"/>
        <v>250.09746588693957</v>
      </c>
      <c r="E926" s="116"/>
    </row>
    <row r="927" spans="1:5" ht="19.5" customHeight="1">
      <c r="A927" s="116" t="s">
        <v>747</v>
      </c>
      <c r="B927" s="116">
        <v>3082</v>
      </c>
      <c r="C927" s="116"/>
      <c r="D927" s="176">
        <f t="shared" si="14"/>
        <v>0</v>
      </c>
      <c r="E927" s="116"/>
    </row>
    <row r="928" spans="1:5" ht="19.5" customHeight="1">
      <c r="A928" s="116" t="s">
        <v>748</v>
      </c>
      <c r="B928" s="116"/>
      <c r="C928" s="116"/>
      <c r="D928" s="176" t="e">
        <f t="shared" si="14"/>
        <v>#DIV/0!</v>
      </c>
      <c r="E928" s="116"/>
    </row>
    <row r="929" spans="1:5" ht="19.5" customHeight="1">
      <c r="A929" s="116" t="s">
        <v>749</v>
      </c>
      <c r="B929" s="116">
        <v>626</v>
      </c>
      <c r="C929" s="116"/>
      <c r="D929" s="176">
        <f t="shared" si="14"/>
        <v>0</v>
      </c>
      <c r="E929" s="116"/>
    </row>
    <row r="930" spans="1:5" ht="19.5" customHeight="1">
      <c r="A930" s="116" t="s">
        <v>750</v>
      </c>
      <c r="B930" s="116"/>
      <c r="C930" s="116"/>
      <c r="D930" s="176" t="e">
        <f t="shared" si="14"/>
        <v>#DIV/0!</v>
      </c>
      <c r="E930" s="116"/>
    </row>
    <row r="931" spans="1:5" ht="19.5" customHeight="1">
      <c r="A931" s="116" t="s">
        <v>751</v>
      </c>
      <c r="B931" s="116">
        <v>192</v>
      </c>
      <c r="C931" s="116">
        <f>215</f>
        <v>215</v>
      </c>
      <c r="D931" s="176">
        <f t="shared" si="14"/>
        <v>111.97916666666667</v>
      </c>
      <c r="E931" s="116"/>
    </row>
    <row r="932" spans="1:5" ht="19.5" customHeight="1">
      <c r="A932" s="116" t="s">
        <v>752</v>
      </c>
      <c r="B932" s="116">
        <v>216</v>
      </c>
      <c r="C932" s="116"/>
      <c r="D932" s="176">
        <f t="shared" si="14"/>
        <v>0</v>
      </c>
      <c r="E932" s="116"/>
    </row>
    <row r="933" spans="1:5" ht="19.5" customHeight="1">
      <c r="A933" s="116" t="s">
        <v>753</v>
      </c>
      <c r="B933" s="116">
        <f>SUM(B934:B938)</f>
        <v>5383</v>
      </c>
      <c r="C933" s="114">
        <f>SUM(C934:C938)</f>
        <v>3262</v>
      </c>
      <c r="D933" s="176">
        <f t="shared" si="14"/>
        <v>60.59817945383615</v>
      </c>
      <c r="E933" s="116"/>
    </row>
    <row r="934" spans="1:5" ht="19.5" customHeight="1">
      <c r="A934" s="116" t="s">
        <v>754</v>
      </c>
      <c r="B934" s="116">
        <v>195</v>
      </c>
      <c r="C934" s="116">
        <f>186</f>
        <v>186</v>
      </c>
      <c r="D934" s="176">
        <f t="shared" si="14"/>
        <v>95.38461538461539</v>
      </c>
      <c r="E934" s="116"/>
    </row>
    <row r="935" spans="1:5" ht="19.5" customHeight="1">
      <c r="A935" s="116" t="s">
        <v>755</v>
      </c>
      <c r="B935" s="116">
        <v>1566</v>
      </c>
      <c r="C935" s="116">
        <f>226</f>
        <v>226</v>
      </c>
      <c r="D935" s="176">
        <f t="shared" si="14"/>
        <v>14.431673052362706</v>
      </c>
      <c r="E935" s="116"/>
    </row>
    <row r="936" spans="1:5" ht="19.5" customHeight="1">
      <c r="A936" s="116" t="s">
        <v>756</v>
      </c>
      <c r="B936" s="116">
        <v>515</v>
      </c>
      <c r="C936" s="116"/>
      <c r="D936" s="176">
        <f t="shared" si="14"/>
        <v>0</v>
      </c>
      <c r="E936" s="116"/>
    </row>
    <row r="937" spans="1:5" ht="19.5" customHeight="1">
      <c r="A937" s="116" t="s">
        <v>757</v>
      </c>
      <c r="B937" s="116"/>
      <c r="C937" s="116"/>
      <c r="D937" s="176" t="e">
        <f t="shared" si="14"/>
        <v>#DIV/0!</v>
      </c>
      <c r="E937" s="116"/>
    </row>
    <row r="938" spans="1:5" ht="19.5" customHeight="1">
      <c r="A938" s="116" t="s">
        <v>758</v>
      </c>
      <c r="B938" s="116">
        <v>3107</v>
      </c>
      <c r="C938" s="116">
        <f>1380+1470</f>
        <v>2850</v>
      </c>
      <c r="D938" s="176">
        <f t="shared" si="14"/>
        <v>91.7283553266817</v>
      </c>
      <c r="E938" s="116"/>
    </row>
    <row r="939" spans="1:5" ht="19.5" customHeight="1">
      <c r="A939" s="116" t="s">
        <v>759</v>
      </c>
      <c r="B939" s="116">
        <f>SUM(B940:B945)</f>
        <v>2280</v>
      </c>
      <c r="C939" s="114">
        <f>SUM(C940:C945)</f>
        <v>1597</v>
      </c>
      <c r="D939" s="176">
        <f t="shared" si="14"/>
        <v>70.04385964912281</v>
      </c>
      <c r="E939" s="116"/>
    </row>
    <row r="940" spans="1:5" ht="19.5" customHeight="1">
      <c r="A940" s="116" t="s">
        <v>760</v>
      </c>
      <c r="B940" s="116">
        <v>929</v>
      </c>
      <c r="C940" s="116">
        <f>145+25+450</f>
        <v>620</v>
      </c>
      <c r="D940" s="176">
        <f t="shared" si="14"/>
        <v>66.7384284176534</v>
      </c>
      <c r="E940" s="116"/>
    </row>
    <row r="941" spans="1:5" ht="19.5" customHeight="1">
      <c r="A941" s="116" t="s">
        <v>761</v>
      </c>
      <c r="B941" s="116"/>
      <c r="C941" s="116"/>
      <c r="D941" s="176" t="e">
        <f t="shared" si="14"/>
        <v>#DIV/0!</v>
      </c>
      <c r="E941" s="116"/>
    </row>
    <row r="942" spans="1:5" ht="19.5" customHeight="1">
      <c r="A942" s="116" t="s">
        <v>762</v>
      </c>
      <c r="B942" s="116">
        <v>1351</v>
      </c>
      <c r="C942" s="116">
        <f>977</f>
        <v>977</v>
      </c>
      <c r="D942" s="176">
        <f t="shared" si="14"/>
        <v>72.31680236861584</v>
      </c>
      <c r="E942" s="116"/>
    </row>
    <row r="943" spans="1:5" ht="19.5" customHeight="1">
      <c r="A943" s="116" t="s">
        <v>763</v>
      </c>
      <c r="B943" s="116"/>
      <c r="C943" s="116"/>
      <c r="D943" s="176" t="e">
        <f t="shared" si="14"/>
        <v>#DIV/0!</v>
      </c>
      <c r="E943" s="116"/>
    </row>
    <row r="944" spans="1:5" ht="19.5" customHeight="1">
      <c r="A944" s="116" t="s">
        <v>764</v>
      </c>
      <c r="B944" s="116"/>
      <c r="C944" s="116"/>
      <c r="D944" s="176" t="e">
        <f t="shared" si="14"/>
        <v>#DIV/0!</v>
      </c>
      <c r="E944" s="116"/>
    </row>
    <row r="945" spans="1:5" ht="19.5" customHeight="1">
      <c r="A945" s="116" t="s">
        <v>765</v>
      </c>
      <c r="B945" s="116"/>
      <c r="C945" s="116"/>
      <c r="D945" s="176" t="e">
        <f t="shared" si="14"/>
        <v>#DIV/0!</v>
      </c>
      <c r="E945" s="116"/>
    </row>
    <row r="946" spans="1:5" ht="19.5" customHeight="1">
      <c r="A946" s="116" t="s">
        <v>766</v>
      </c>
      <c r="B946" s="116">
        <f>SUM(B947:B952)</f>
        <v>339</v>
      </c>
      <c r="C946" s="114">
        <f>SUM(C947:C952)</f>
        <v>300</v>
      </c>
      <c r="D946" s="176">
        <f t="shared" si="14"/>
        <v>88.49557522123894</v>
      </c>
      <c r="E946" s="116"/>
    </row>
    <row r="947" spans="1:5" ht="19.5" customHeight="1">
      <c r="A947" s="116" t="s">
        <v>767</v>
      </c>
      <c r="B947" s="116"/>
      <c r="C947" s="116"/>
      <c r="D947" s="176" t="e">
        <f t="shared" si="14"/>
        <v>#DIV/0!</v>
      </c>
      <c r="E947" s="116"/>
    </row>
    <row r="948" spans="1:5" ht="19.5" customHeight="1">
      <c r="A948" s="116" t="s">
        <v>768</v>
      </c>
      <c r="B948" s="116"/>
      <c r="C948" s="116"/>
      <c r="D948" s="176" t="e">
        <f t="shared" si="14"/>
        <v>#DIV/0!</v>
      </c>
      <c r="E948" s="116"/>
    </row>
    <row r="949" spans="1:5" ht="19.5" customHeight="1">
      <c r="A949" s="116" t="s">
        <v>769</v>
      </c>
      <c r="B949" s="116">
        <v>310</v>
      </c>
      <c r="C949" s="116">
        <f>177+63</f>
        <v>240</v>
      </c>
      <c r="D949" s="176">
        <f t="shared" si="14"/>
        <v>77.41935483870968</v>
      </c>
      <c r="E949" s="116"/>
    </row>
    <row r="950" spans="1:5" ht="19.5" customHeight="1">
      <c r="A950" s="116" t="s">
        <v>770</v>
      </c>
      <c r="B950" s="116">
        <v>29</v>
      </c>
      <c r="C950" s="116">
        <f>7+16</f>
        <v>23</v>
      </c>
      <c r="D950" s="176">
        <f t="shared" si="14"/>
        <v>79.3103448275862</v>
      </c>
      <c r="E950" s="116"/>
    </row>
    <row r="951" spans="1:5" ht="19.5" customHeight="1">
      <c r="A951" s="116" t="s">
        <v>771</v>
      </c>
      <c r="B951" s="116"/>
      <c r="C951" s="116"/>
      <c r="D951" s="176" t="e">
        <f t="shared" si="14"/>
        <v>#DIV/0!</v>
      </c>
      <c r="E951" s="116"/>
    </row>
    <row r="952" spans="1:5" ht="19.5" customHeight="1">
      <c r="A952" s="116" t="s">
        <v>772</v>
      </c>
      <c r="B952" s="116"/>
      <c r="C952" s="116">
        <f>37</f>
        <v>37</v>
      </c>
      <c r="D952" s="176" t="e">
        <f t="shared" si="14"/>
        <v>#DIV/0!</v>
      </c>
      <c r="E952" s="116"/>
    </row>
    <row r="953" spans="1:5" ht="19.5" customHeight="1">
      <c r="A953" s="116" t="s">
        <v>773</v>
      </c>
      <c r="B953" s="116">
        <f>SUM(B954:B956)</f>
        <v>0</v>
      </c>
      <c r="C953" s="114">
        <f>SUM(C954:C956)</f>
        <v>0</v>
      </c>
      <c r="D953" s="176" t="e">
        <f t="shared" si="14"/>
        <v>#DIV/0!</v>
      </c>
      <c r="E953" s="116"/>
    </row>
    <row r="954" spans="1:5" ht="19.5" customHeight="1">
      <c r="A954" s="116" t="s">
        <v>774</v>
      </c>
      <c r="B954" s="116"/>
      <c r="C954" s="116"/>
      <c r="D954" s="176" t="e">
        <f t="shared" si="14"/>
        <v>#DIV/0!</v>
      </c>
      <c r="E954" s="116"/>
    </row>
    <row r="955" spans="1:5" ht="19.5" customHeight="1">
      <c r="A955" s="116" t="s">
        <v>775</v>
      </c>
      <c r="B955" s="116"/>
      <c r="C955" s="116"/>
      <c r="D955" s="176" t="e">
        <f t="shared" si="14"/>
        <v>#DIV/0!</v>
      </c>
      <c r="E955" s="116"/>
    </row>
    <row r="956" spans="1:5" ht="19.5" customHeight="1">
      <c r="A956" s="116" t="s">
        <v>776</v>
      </c>
      <c r="B956" s="116"/>
      <c r="C956" s="116"/>
      <c r="D956" s="176" t="e">
        <f t="shared" si="14"/>
        <v>#DIV/0!</v>
      </c>
      <c r="E956" s="116"/>
    </row>
    <row r="957" spans="1:5" ht="19.5" customHeight="1">
      <c r="A957" s="116" t="s">
        <v>777</v>
      </c>
      <c r="B957" s="116">
        <f>SUM(B958:B959)</f>
        <v>64</v>
      </c>
      <c r="C957" s="114">
        <f>SUM(C958:C959)</f>
        <v>0</v>
      </c>
      <c r="D957" s="176">
        <f t="shared" si="14"/>
        <v>0</v>
      </c>
      <c r="E957" s="116"/>
    </row>
    <row r="958" spans="1:5" ht="19.5" customHeight="1">
      <c r="A958" s="116" t="s">
        <v>778</v>
      </c>
      <c r="B958" s="116"/>
      <c r="C958" s="116"/>
      <c r="D958" s="176" t="e">
        <f t="shared" si="14"/>
        <v>#DIV/0!</v>
      </c>
      <c r="E958" s="116"/>
    </row>
    <row r="959" spans="1:5" ht="19.5" customHeight="1">
      <c r="A959" s="116" t="s">
        <v>779</v>
      </c>
      <c r="B959" s="116">
        <v>64</v>
      </c>
      <c r="C959" s="116"/>
      <c r="D959" s="176">
        <f t="shared" si="14"/>
        <v>0</v>
      </c>
      <c r="E959" s="116"/>
    </row>
    <row r="960" spans="1:5" ht="19.5" customHeight="1">
      <c r="A960" s="116" t="s">
        <v>780</v>
      </c>
      <c r="B960" s="116">
        <f>SUM(B961,B984,B994,B1004,B1009,B1016,B1021)</f>
        <v>2837</v>
      </c>
      <c r="C960" s="114">
        <f>C961+C984+C994+C1004+C1009+C1016+C1021</f>
        <v>1239</v>
      </c>
      <c r="D960" s="176">
        <f t="shared" si="14"/>
        <v>43.672893902009164</v>
      </c>
      <c r="E960" s="116"/>
    </row>
    <row r="961" spans="1:5" ht="19.5" customHeight="1">
      <c r="A961" s="116" t="s">
        <v>781</v>
      </c>
      <c r="B961" s="116">
        <f>SUM(B962:B983)</f>
        <v>1282</v>
      </c>
      <c r="C961" s="114">
        <f>SUM(C962:C983)</f>
        <v>388</v>
      </c>
      <c r="D961" s="176">
        <f t="shared" si="14"/>
        <v>30.265210608424336</v>
      </c>
      <c r="E961" s="116"/>
    </row>
    <row r="962" spans="1:5" ht="19.5" customHeight="1">
      <c r="A962" s="116" t="s">
        <v>647</v>
      </c>
      <c r="B962" s="116">
        <v>256</v>
      </c>
      <c r="C962" s="116">
        <f>244</f>
        <v>244</v>
      </c>
      <c r="D962" s="176">
        <f t="shared" si="14"/>
        <v>95.3125</v>
      </c>
      <c r="E962" s="116"/>
    </row>
    <row r="963" spans="1:5" ht="19.5" customHeight="1">
      <c r="A963" s="116" t="s">
        <v>648</v>
      </c>
      <c r="B963" s="116">
        <v>80</v>
      </c>
      <c r="C963" s="116"/>
      <c r="D963" s="176">
        <f t="shared" si="14"/>
        <v>0</v>
      </c>
      <c r="E963" s="116"/>
    </row>
    <row r="964" spans="1:5" ht="19.5" customHeight="1">
      <c r="A964" s="116" t="s">
        <v>649</v>
      </c>
      <c r="B964" s="116"/>
      <c r="C964" s="116"/>
      <c r="D964" s="176" t="e">
        <f t="shared" si="14"/>
        <v>#DIV/0!</v>
      </c>
      <c r="E964" s="116"/>
    </row>
    <row r="965" spans="1:5" ht="19.5" customHeight="1">
      <c r="A965" s="116" t="s">
        <v>782</v>
      </c>
      <c r="B965" s="116"/>
      <c r="C965" s="116"/>
      <c r="D965" s="176" t="e">
        <f aca="true" t="shared" si="15" ref="D965:D1028">C965/B965*100</f>
        <v>#DIV/0!</v>
      </c>
      <c r="E965" s="116"/>
    </row>
    <row r="966" spans="1:5" ht="19.5" customHeight="1">
      <c r="A966" s="116" t="s">
        <v>783</v>
      </c>
      <c r="B966" s="116">
        <v>130</v>
      </c>
      <c r="C966" s="116"/>
      <c r="D966" s="176">
        <f t="shared" si="15"/>
        <v>0</v>
      </c>
      <c r="E966" s="116"/>
    </row>
    <row r="967" spans="1:5" ht="19.5" customHeight="1">
      <c r="A967" s="116" t="s">
        <v>784</v>
      </c>
      <c r="B967" s="116"/>
      <c r="C967" s="116"/>
      <c r="D967" s="176" t="e">
        <f t="shared" si="15"/>
        <v>#DIV/0!</v>
      </c>
      <c r="E967" s="116"/>
    </row>
    <row r="968" spans="1:5" ht="19.5" customHeight="1">
      <c r="A968" s="116" t="s">
        <v>785</v>
      </c>
      <c r="B968" s="116"/>
      <c r="C968" s="116"/>
      <c r="D968" s="176" t="e">
        <f t="shared" si="15"/>
        <v>#DIV/0!</v>
      </c>
      <c r="E968" s="116"/>
    </row>
    <row r="969" spans="1:5" ht="19.5" customHeight="1">
      <c r="A969" s="116" t="s">
        <v>786</v>
      </c>
      <c r="B969" s="116"/>
      <c r="C969" s="116"/>
      <c r="D969" s="176" t="e">
        <f t="shared" si="15"/>
        <v>#DIV/0!</v>
      </c>
      <c r="E969" s="116"/>
    </row>
    <row r="970" spans="1:5" ht="19.5" customHeight="1">
      <c r="A970" s="116" t="s">
        <v>787</v>
      </c>
      <c r="B970" s="116">
        <v>181</v>
      </c>
      <c r="C970" s="116">
        <f>136</f>
        <v>136</v>
      </c>
      <c r="D970" s="176">
        <f t="shared" si="15"/>
        <v>75.13812154696133</v>
      </c>
      <c r="E970" s="116"/>
    </row>
    <row r="971" spans="1:5" ht="19.5" customHeight="1">
      <c r="A971" s="116" t="s">
        <v>788</v>
      </c>
      <c r="B971" s="116"/>
      <c r="C971" s="116"/>
      <c r="D971" s="176" t="e">
        <f t="shared" si="15"/>
        <v>#DIV/0!</v>
      </c>
      <c r="E971" s="116"/>
    </row>
    <row r="972" spans="1:5" ht="19.5" customHeight="1">
      <c r="A972" s="116" t="s">
        <v>789</v>
      </c>
      <c r="B972" s="116"/>
      <c r="C972" s="116"/>
      <c r="D972" s="176" t="e">
        <f t="shared" si="15"/>
        <v>#DIV/0!</v>
      </c>
      <c r="E972" s="116"/>
    </row>
    <row r="973" spans="1:5" ht="19.5" customHeight="1">
      <c r="A973" s="116" t="s">
        <v>790</v>
      </c>
      <c r="B973" s="116"/>
      <c r="C973" s="116"/>
      <c r="D973" s="176" t="e">
        <f t="shared" si="15"/>
        <v>#DIV/0!</v>
      </c>
      <c r="E973" s="116"/>
    </row>
    <row r="974" spans="1:5" ht="19.5" customHeight="1">
      <c r="A974" s="116" t="s">
        <v>791</v>
      </c>
      <c r="B974" s="116"/>
      <c r="C974" s="116"/>
      <c r="D974" s="176" t="e">
        <f t="shared" si="15"/>
        <v>#DIV/0!</v>
      </c>
      <c r="E974" s="116"/>
    </row>
    <row r="975" spans="1:5" ht="19.5" customHeight="1">
      <c r="A975" s="116" t="s">
        <v>792</v>
      </c>
      <c r="B975" s="116"/>
      <c r="C975" s="116"/>
      <c r="D975" s="176" t="e">
        <f t="shared" si="15"/>
        <v>#DIV/0!</v>
      </c>
      <c r="E975" s="116"/>
    </row>
    <row r="976" spans="1:5" ht="19.5" customHeight="1">
      <c r="A976" s="116" t="s">
        <v>793</v>
      </c>
      <c r="B976" s="116"/>
      <c r="C976" s="116"/>
      <c r="D976" s="176" t="e">
        <f t="shared" si="15"/>
        <v>#DIV/0!</v>
      </c>
      <c r="E976" s="116"/>
    </row>
    <row r="977" spans="1:5" ht="19.5" customHeight="1">
      <c r="A977" s="116" t="s">
        <v>794</v>
      </c>
      <c r="B977" s="116"/>
      <c r="C977" s="116"/>
      <c r="D977" s="176" t="e">
        <f t="shared" si="15"/>
        <v>#DIV/0!</v>
      </c>
      <c r="E977" s="116"/>
    </row>
    <row r="978" spans="1:5" ht="19.5" customHeight="1">
      <c r="A978" s="116" t="s">
        <v>795</v>
      </c>
      <c r="B978" s="116"/>
      <c r="C978" s="116"/>
      <c r="D978" s="176" t="e">
        <f t="shared" si="15"/>
        <v>#DIV/0!</v>
      </c>
      <c r="E978" s="116"/>
    </row>
    <row r="979" spans="1:5" ht="18.75" customHeight="1">
      <c r="A979" s="116" t="s">
        <v>796</v>
      </c>
      <c r="B979" s="116"/>
      <c r="C979" s="116"/>
      <c r="D979" s="176" t="e">
        <f t="shared" si="15"/>
        <v>#DIV/0!</v>
      </c>
      <c r="E979" s="116"/>
    </row>
    <row r="980" spans="1:5" ht="19.5" customHeight="1">
      <c r="A980" s="116" t="s">
        <v>797</v>
      </c>
      <c r="B980" s="116"/>
      <c r="C980" s="116"/>
      <c r="D980" s="176" t="e">
        <f t="shared" si="15"/>
        <v>#DIV/0!</v>
      </c>
      <c r="E980" s="116"/>
    </row>
    <row r="981" spans="1:5" ht="19.5" customHeight="1">
      <c r="A981" s="116" t="s">
        <v>798</v>
      </c>
      <c r="B981" s="116"/>
      <c r="C981" s="116"/>
      <c r="D981" s="176" t="e">
        <f t="shared" si="15"/>
        <v>#DIV/0!</v>
      </c>
      <c r="E981" s="116"/>
    </row>
    <row r="982" spans="1:5" ht="19.5" customHeight="1">
      <c r="A982" s="116" t="s">
        <v>799</v>
      </c>
      <c r="B982" s="116"/>
      <c r="C982" s="116"/>
      <c r="D982" s="176" t="e">
        <f t="shared" si="15"/>
        <v>#DIV/0!</v>
      </c>
      <c r="E982" s="116"/>
    </row>
    <row r="983" spans="1:5" ht="19.5" customHeight="1">
      <c r="A983" s="116" t="s">
        <v>800</v>
      </c>
      <c r="B983" s="116">
        <v>635</v>
      </c>
      <c r="C983" s="116">
        <v>8</v>
      </c>
      <c r="D983" s="176">
        <f t="shared" si="15"/>
        <v>1.2598425196850394</v>
      </c>
      <c r="E983" s="116"/>
    </row>
    <row r="984" spans="1:5" ht="19.5" customHeight="1">
      <c r="A984" s="116" t="s">
        <v>801</v>
      </c>
      <c r="B984" s="116">
        <f>SUM(B985:B993)</f>
        <v>0</v>
      </c>
      <c r="C984" s="114">
        <f>SUM(C985:C993)</f>
        <v>0</v>
      </c>
      <c r="D984" s="176" t="e">
        <f t="shared" si="15"/>
        <v>#DIV/0!</v>
      </c>
      <c r="E984" s="116"/>
    </row>
    <row r="985" spans="1:5" ht="19.5" customHeight="1">
      <c r="A985" s="116" t="s">
        <v>647</v>
      </c>
      <c r="B985" s="116"/>
      <c r="C985" s="116"/>
      <c r="D985" s="176" t="e">
        <f t="shared" si="15"/>
        <v>#DIV/0!</v>
      </c>
      <c r="E985" s="116"/>
    </row>
    <row r="986" spans="1:5" ht="19.5" customHeight="1">
      <c r="A986" s="116" t="s">
        <v>648</v>
      </c>
      <c r="B986" s="116"/>
      <c r="C986" s="116"/>
      <c r="D986" s="176" t="e">
        <f t="shared" si="15"/>
        <v>#DIV/0!</v>
      </c>
      <c r="E986" s="116"/>
    </row>
    <row r="987" spans="1:5" ht="19.5" customHeight="1">
      <c r="A987" s="116" t="s">
        <v>649</v>
      </c>
      <c r="B987" s="116"/>
      <c r="C987" s="116"/>
      <c r="D987" s="176" t="e">
        <f t="shared" si="15"/>
        <v>#DIV/0!</v>
      </c>
      <c r="E987" s="116"/>
    </row>
    <row r="988" spans="1:5" ht="19.5" customHeight="1">
      <c r="A988" s="116" t="s">
        <v>802</v>
      </c>
      <c r="B988" s="116"/>
      <c r="C988" s="116"/>
      <c r="D988" s="176" t="e">
        <f t="shared" si="15"/>
        <v>#DIV/0!</v>
      </c>
      <c r="E988" s="116"/>
    </row>
    <row r="989" spans="1:5" ht="19.5" customHeight="1">
      <c r="A989" s="116" t="s">
        <v>803</v>
      </c>
      <c r="B989" s="116"/>
      <c r="C989" s="116"/>
      <c r="D989" s="176" t="e">
        <f t="shared" si="15"/>
        <v>#DIV/0!</v>
      </c>
      <c r="E989" s="116"/>
    </row>
    <row r="990" spans="1:5" ht="19.5" customHeight="1">
      <c r="A990" s="116" t="s">
        <v>804</v>
      </c>
      <c r="B990" s="116"/>
      <c r="C990" s="116"/>
      <c r="D990" s="176" t="e">
        <f t="shared" si="15"/>
        <v>#DIV/0!</v>
      </c>
      <c r="E990" s="116"/>
    </row>
    <row r="991" spans="1:5" ht="19.5" customHeight="1">
      <c r="A991" s="116" t="s">
        <v>805</v>
      </c>
      <c r="B991" s="116"/>
      <c r="C991" s="116"/>
      <c r="D991" s="176" t="e">
        <f t="shared" si="15"/>
        <v>#DIV/0!</v>
      </c>
      <c r="E991" s="116"/>
    </row>
    <row r="992" spans="1:5" ht="19.5" customHeight="1">
      <c r="A992" s="116" t="s">
        <v>806</v>
      </c>
      <c r="B992" s="116"/>
      <c r="C992" s="116"/>
      <c r="D992" s="176" t="e">
        <f t="shared" si="15"/>
        <v>#DIV/0!</v>
      </c>
      <c r="E992" s="116"/>
    </row>
    <row r="993" spans="1:5" ht="19.5" customHeight="1">
      <c r="A993" s="116" t="s">
        <v>807</v>
      </c>
      <c r="B993" s="116"/>
      <c r="C993" s="116"/>
      <c r="D993" s="176" t="e">
        <f t="shared" si="15"/>
        <v>#DIV/0!</v>
      </c>
      <c r="E993" s="116"/>
    </row>
    <row r="994" spans="1:5" ht="19.5" customHeight="1">
      <c r="A994" s="116" t="s">
        <v>808</v>
      </c>
      <c r="B994" s="116"/>
      <c r="C994" s="114">
        <f>SUM(C995:C1003)</f>
        <v>0</v>
      </c>
      <c r="D994" s="176" t="e">
        <f t="shared" si="15"/>
        <v>#DIV/0!</v>
      </c>
      <c r="E994" s="116"/>
    </row>
    <row r="995" spans="1:5" ht="19.5" customHeight="1">
      <c r="A995" s="116" t="s">
        <v>647</v>
      </c>
      <c r="B995" s="116"/>
      <c r="C995" s="116"/>
      <c r="D995" s="176" t="e">
        <f t="shared" si="15"/>
        <v>#DIV/0!</v>
      </c>
      <c r="E995" s="116"/>
    </row>
    <row r="996" spans="1:5" ht="19.5" customHeight="1">
      <c r="A996" s="116" t="s">
        <v>648</v>
      </c>
      <c r="B996" s="116"/>
      <c r="C996" s="116"/>
      <c r="D996" s="176" t="e">
        <f t="shared" si="15"/>
        <v>#DIV/0!</v>
      </c>
      <c r="E996" s="116"/>
    </row>
    <row r="997" spans="1:5" ht="19.5" customHeight="1">
      <c r="A997" s="116" t="s">
        <v>649</v>
      </c>
      <c r="B997" s="116"/>
      <c r="C997" s="116"/>
      <c r="D997" s="176" t="e">
        <f t="shared" si="15"/>
        <v>#DIV/0!</v>
      </c>
      <c r="E997" s="116"/>
    </row>
    <row r="998" spans="1:5" ht="19.5" customHeight="1">
      <c r="A998" s="116" t="s">
        <v>809</v>
      </c>
      <c r="B998" s="116"/>
      <c r="C998" s="116"/>
      <c r="D998" s="176" t="e">
        <f t="shared" si="15"/>
        <v>#DIV/0!</v>
      </c>
      <c r="E998" s="116"/>
    </row>
    <row r="999" spans="1:5" ht="19.5" customHeight="1">
      <c r="A999" s="116" t="s">
        <v>810</v>
      </c>
      <c r="B999" s="116"/>
      <c r="C999" s="116"/>
      <c r="D999" s="176" t="e">
        <f t="shared" si="15"/>
        <v>#DIV/0!</v>
      </c>
      <c r="E999" s="116"/>
    </row>
    <row r="1000" spans="1:5" ht="19.5" customHeight="1">
      <c r="A1000" s="116" t="s">
        <v>811</v>
      </c>
      <c r="B1000" s="116"/>
      <c r="C1000" s="116"/>
      <c r="D1000" s="176" t="e">
        <f t="shared" si="15"/>
        <v>#DIV/0!</v>
      </c>
      <c r="E1000" s="116"/>
    </row>
    <row r="1001" spans="1:5" ht="19.5" customHeight="1">
      <c r="A1001" s="116" t="s">
        <v>812</v>
      </c>
      <c r="B1001" s="116"/>
      <c r="C1001" s="116"/>
      <c r="D1001" s="176" t="e">
        <f t="shared" si="15"/>
        <v>#DIV/0!</v>
      </c>
      <c r="E1001" s="116"/>
    </row>
    <row r="1002" spans="1:5" ht="19.5" customHeight="1">
      <c r="A1002" s="116" t="s">
        <v>813</v>
      </c>
      <c r="B1002" s="116"/>
      <c r="C1002" s="116"/>
      <c r="D1002" s="176" t="e">
        <f t="shared" si="15"/>
        <v>#DIV/0!</v>
      </c>
      <c r="E1002" s="116"/>
    </row>
    <row r="1003" spans="1:5" ht="19.5" customHeight="1">
      <c r="A1003" s="116" t="s">
        <v>814</v>
      </c>
      <c r="B1003" s="116"/>
      <c r="C1003" s="116"/>
      <c r="D1003" s="176" t="e">
        <f t="shared" si="15"/>
        <v>#DIV/0!</v>
      </c>
      <c r="E1003" s="116"/>
    </row>
    <row r="1004" spans="1:5" ht="19.5" customHeight="1">
      <c r="A1004" s="116" t="s">
        <v>815</v>
      </c>
      <c r="B1004" s="116">
        <f>SUM(B1005:B1008)</f>
        <v>57</v>
      </c>
      <c r="C1004" s="114">
        <f>SUM(C1005:C1008)</f>
        <v>13</v>
      </c>
      <c r="D1004" s="176">
        <f t="shared" si="15"/>
        <v>22.807017543859647</v>
      </c>
      <c r="E1004" s="116"/>
    </row>
    <row r="1005" spans="1:5" ht="19.5" customHeight="1">
      <c r="A1005" s="116" t="s">
        <v>816</v>
      </c>
      <c r="B1005" s="116">
        <v>10</v>
      </c>
      <c r="C1005" s="116">
        <v>5</v>
      </c>
      <c r="D1005" s="176">
        <f t="shared" si="15"/>
        <v>50</v>
      </c>
      <c r="E1005" s="116"/>
    </row>
    <row r="1006" spans="1:5" ht="19.5" customHeight="1">
      <c r="A1006" s="116" t="s">
        <v>817</v>
      </c>
      <c r="B1006" s="116">
        <v>23</v>
      </c>
      <c r="C1006" s="116">
        <f>8</f>
        <v>8</v>
      </c>
      <c r="D1006" s="176">
        <f t="shared" si="15"/>
        <v>34.78260869565217</v>
      </c>
      <c r="E1006" s="116"/>
    </row>
    <row r="1007" spans="1:5" ht="19.5" customHeight="1">
      <c r="A1007" s="116" t="s">
        <v>818</v>
      </c>
      <c r="B1007" s="116">
        <v>24</v>
      </c>
      <c r="C1007" s="116"/>
      <c r="D1007" s="176">
        <f t="shared" si="15"/>
        <v>0</v>
      </c>
      <c r="E1007" s="116"/>
    </row>
    <row r="1008" spans="1:5" ht="19.5" customHeight="1">
      <c r="A1008" s="116" t="s">
        <v>819</v>
      </c>
      <c r="B1008" s="116"/>
      <c r="C1008" s="116"/>
      <c r="D1008" s="176" t="e">
        <f t="shared" si="15"/>
        <v>#DIV/0!</v>
      </c>
      <c r="E1008" s="116"/>
    </row>
    <row r="1009" spans="1:5" ht="19.5" customHeight="1">
      <c r="A1009" s="116" t="s">
        <v>820</v>
      </c>
      <c r="B1009" s="116"/>
      <c r="C1009" s="114">
        <f>SUM(C1010:C1015)</f>
        <v>0</v>
      </c>
      <c r="D1009" s="176" t="e">
        <f t="shared" si="15"/>
        <v>#DIV/0!</v>
      </c>
      <c r="E1009" s="116"/>
    </row>
    <row r="1010" spans="1:5" ht="19.5" customHeight="1">
      <c r="A1010" s="116" t="s">
        <v>647</v>
      </c>
      <c r="B1010" s="116"/>
      <c r="C1010" s="116"/>
      <c r="D1010" s="176" t="e">
        <f t="shared" si="15"/>
        <v>#DIV/0!</v>
      </c>
      <c r="E1010" s="116"/>
    </row>
    <row r="1011" spans="1:5" ht="19.5" customHeight="1">
      <c r="A1011" s="116" t="s">
        <v>648</v>
      </c>
      <c r="B1011" s="116"/>
      <c r="C1011" s="116"/>
      <c r="D1011" s="176" t="e">
        <f t="shared" si="15"/>
        <v>#DIV/0!</v>
      </c>
      <c r="E1011" s="116"/>
    </row>
    <row r="1012" spans="1:5" ht="19.5" customHeight="1">
      <c r="A1012" s="116" t="s">
        <v>649</v>
      </c>
      <c r="B1012" s="116"/>
      <c r="C1012" s="116"/>
      <c r="D1012" s="176" t="e">
        <f t="shared" si="15"/>
        <v>#DIV/0!</v>
      </c>
      <c r="E1012" s="116"/>
    </row>
    <row r="1013" spans="1:5" ht="19.5" customHeight="1">
      <c r="A1013" s="116" t="s">
        <v>806</v>
      </c>
      <c r="B1013" s="116"/>
      <c r="C1013" s="116"/>
      <c r="D1013" s="176" t="e">
        <f t="shared" si="15"/>
        <v>#DIV/0!</v>
      </c>
      <c r="E1013" s="116"/>
    </row>
    <row r="1014" spans="1:5" ht="19.5" customHeight="1">
      <c r="A1014" s="116" t="s">
        <v>821</v>
      </c>
      <c r="B1014" s="116"/>
      <c r="C1014" s="116"/>
      <c r="D1014" s="176" t="e">
        <f t="shared" si="15"/>
        <v>#DIV/0!</v>
      </c>
      <c r="E1014" s="116"/>
    </row>
    <row r="1015" spans="1:5" ht="19.5" customHeight="1">
      <c r="A1015" s="116" t="s">
        <v>822</v>
      </c>
      <c r="B1015" s="116"/>
      <c r="C1015" s="116"/>
      <c r="D1015" s="176" t="e">
        <f t="shared" si="15"/>
        <v>#DIV/0!</v>
      </c>
      <c r="E1015" s="116"/>
    </row>
    <row r="1016" spans="1:5" ht="19.5" customHeight="1">
      <c r="A1016" s="116" t="s">
        <v>823</v>
      </c>
      <c r="B1016" s="116">
        <f>SUM(B1017:B1020)</f>
        <v>1498</v>
      </c>
      <c r="C1016" s="114">
        <f>SUM(C1017:C1020)</f>
        <v>838</v>
      </c>
      <c r="D1016" s="176">
        <f t="shared" si="15"/>
        <v>55.941255006675576</v>
      </c>
      <c r="E1016" s="116"/>
    </row>
    <row r="1017" spans="1:5" ht="19.5" customHeight="1">
      <c r="A1017" s="116" t="s">
        <v>824</v>
      </c>
      <c r="B1017" s="116"/>
      <c r="C1017" s="116"/>
      <c r="D1017" s="176" t="e">
        <f t="shared" si="15"/>
        <v>#DIV/0!</v>
      </c>
      <c r="E1017" s="116"/>
    </row>
    <row r="1018" spans="1:5" ht="19.5" customHeight="1">
      <c r="A1018" s="116" t="s">
        <v>825</v>
      </c>
      <c r="B1018" s="116">
        <v>1498</v>
      </c>
      <c r="C1018" s="116">
        <v>838</v>
      </c>
      <c r="D1018" s="176">
        <f t="shared" si="15"/>
        <v>55.941255006675576</v>
      </c>
      <c r="E1018" s="116"/>
    </row>
    <row r="1019" spans="1:5" ht="19.5" customHeight="1">
      <c r="A1019" s="116" t="s">
        <v>826</v>
      </c>
      <c r="B1019" s="116"/>
      <c r="C1019" s="116"/>
      <c r="D1019" s="176" t="e">
        <f t="shared" si="15"/>
        <v>#DIV/0!</v>
      </c>
      <c r="E1019" s="116"/>
    </row>
    <row r="1020" spans="1:5" ht="19.5" customHeight="1">
      <c r="A1020" s="116" t="s">
        <v>827</v>
      </c>
      <c r="B1020" s="116"/>
      <c r="C1020" s="116"/>
      <c r="D1020" s="176" t="e">
        <f t="shared" si="15"/>
        <v>#DIV/0!</v>
      </c>
      <c r="E1020" s="116"/>
    </row>
    <row r="1021" spans="1:5" ht="19.5" customHeight="1">
      <c r="A1021" s="116" t="s">
        <v>828</v>
      </c>
      <c r="B1021" s="116">
        <f>SUM(B1022:B1023)</f>
        <v>0</v>
      </c>
      <c r="C1021" s="114">
        <f>SUM(C1022:C1023)</f>
        <v>0</v>
      </c>
      <c r="D1021" s="176" t="e">
        <f t="shared" si="15"/>
        <v>#DIV/0!</v>
      </c>
      <c r="E1021" s="116"/>
    </row>
    <row r="1022" spans="1:5" ht="19.5" customHeight="1">
      <c r="A1022" s="116" t="s">
        <v>829</v>
      </c>
      <c r="B1022" s="116"/>
      <c r="C1022" s="116"/>
      <c r="D1022" s="176" t="e">
        <f t="shared" si="15"/>
        <v>#DIV/0!</v>
      </c>
      <c r="E1022" s="116"/>
    </row>
    <row r="1023" spans="1:5" ht="19.5" customHeight="1">
      <c r="A1023" s="116" t="s">
        <v>830</v>
      </c>
      <c r="B1023" s="116"/>
      <c r="C1023" s="116"/>
      <c r="D1023" s="176" t="e">
        <f t="shared" si="15"/>
        <v>#DIV/0!</v>
      </c>
      <c r="E1023" s="116"/>
    </row>
    <row r="1024" spans="1:5" ht="19.5" customHeight="1">
      <c r="A1024" s="116" t="s">
        <v>831</v>
      </c>
      <c r="B1024" s="116">
        <f>SUM(B1025,B1035,B1051,B1056,B1070,B1084,B1091)</f>
        <v>425</v>
      </c>
      <c r="C1024" s="114">
        <f>C1025+C1035+C1051+C1056+C1070+C1084+C1091</f>
        <v>507</v>
      </c>
      <c r="D1024" s="176">
        <f t="shared" si="15"/>
        <v>119.29411764705881</v>
      </c>
      <c r="E1024" s="116"/>
    </row>
    <row r="1025" spans="1:5" ht="19.5" customHeight="1">
      <c r="A1025" s="116" t="s">
        <v>832</v>
      </c>
      <c r="B1025" s="116">
        <f>SUM(B1026:B1034)</f>
        <v>0</v>
      </c>
      <c r="C1025" s="114">
        <f>SUM(C1026:C1034)</f>
        <v>0</v>
      </c>
      <c r="D1025" s="176" t="e">
        <f t="shared" si="15"/>
        <v>#DIV/0!</v>
      </c>
      <c r="E1025" s="116"/>
    </row>
    <row r="1026" spans="1:5" ht="19.5" customHeight="1">
      <c r="A1026" s="116" t="s">
        <v>647</v>
      </c>
      <c r="B1026" s="116"/>
      <c r="C1026" s="116"/>
      <c r="D1026" s="176" t="e">
        <f t="shared" si="15"/>
        <v>#DIV/0!</v>
      </c>
      <c r="E1026" s="116"/>
    </row>
    <row r="1027" spans="1:5" ht="19.5" customHeight="1">
      <c r="A1027" s="116" t="s">
        <v>648</v>
      </c>
      <c r="B1027" s="116"/>
      <c r="C1027" s="116"/>
      <c r="D1027" s="176" t="e">
        <f t="shared" si="15"/>
        <v>#DIV/0!</v>
      </c>
      <c r="E1027" s="116"/>
    </row>
    <row r="1028" spans="1:5" ht="19.5" customHeight="1">
      <c r="A1028" s="116" t="s">
        <v>649</v>
      </c>
      <c r="B1028" s="116"/>
      <c r="C1028" s="116"/>
      <c r="D1028" s="176" t="e">
        <f t="shared" si="15"/>
        <v>#DIV/0!</v>
      </c>
      <c r="E1028" s="116"/>
    </row>
    <row r="1029" spans="1:5" ht="19.5" customHeight="1">
      <c r="A1029" s="116" t="s">
        <v>833</v>
      </c>
      <c r="B1029" s="116"/>
      <c r="C1029" s="116"/>
      <c r="D1029" s="176" t="e">
        <f aca="true" t="shared" si="16" ref="D1029:D1092">C1029/B1029*100</f>
        <v>#DIV/0!</v>
      </c>
      <c r="E1029" s="116"/>
    </row>
    <row r="1030" spans="1:5" ht="19.5" customHeight="1">
      <c r="A1030" s="116" t="s">
        <v>834</v>
      </c>
      <c r="B1030" s="116"/>
      <c r="C1030" s="116"/>
      <c r="D1030" s="176" t="e">
        <f t="shared" si="16"/>
        <v>#DIV/0!</v>
      </c>
      <c r="E1030" s="116"/>
    </row>
    <row r="1031" spans="1:5" ht="19.5" customHeight="1">
      <c r="A1031" s="116" t="s">
        <v>835</v>
      </c>
      <c r="B1031" s="116"/>
      <c r="C1031" s="116"/>
      <c r="D1031" s="176" t="e">
        <f t="shared" si="16"/>
        <v>#DIV/0!</v>
      </c>
      <c r="E1031" s="116"/>
    </row>
    <row r="1032" spans="1:5" ht="19.5" customHeight="1">
      <c r="A1032" s="116" t="s">
        <v>836</v>
      </c>
      <c r="B1032" s="116"/>
      <c r="C1032" s="116"/>
      <c r="D1032" s="176" t="e">
        <f t="shared" si="16"/>
        <v>#DIV/0!</v>
      </c>
      <c r="E1032" s="116"/>
    </row>
    <row r="1033" spans="1:5" ht="19.5" customHeight="1">
      <c r="A1033" s="116" t="s">
        <v>837</v>
      </c>
      <c r="B1033" s="116"/>
      <c r="C1033" s="116"/>
      <c r="D1033" s="176" t="e">
        <f t="shared" si="16"/>
        <v>#DIV/0!</v>
      </c>
      <c r="E1033" s="116"/>
    </row>
    <row r="1034" spans="1:5" ht="19.5" customHeight="1">
      <c r="A1034" s="116" t="s">
        <v>838</v>
      </c>
      <c r="B1034" s="116"/>
      <c r="C1034" s="116"/>
      <c r="D1034" s="176" t="e">
        <f t="shared" si="16"/>
        <v>#DIV/0!</v>
      </c>
      <c r="E1034" s="116"/>
    </row>
    <row r="1035" spans="1:5" ht="19.5" customHeight="1">
      <c r="A1035" s="116" t="s">
        <v>839</v>
      </c>
      <c r="B1035" s="116">
        <f>SUM(B1036:B1050)</f>
        <v>0</v>
      </c>
      <c r="C1035" s="114">
        <f>SUM(C1036:C1050)</f>
        <v>0</v>
      </c>
      <c r="D1035" s="176" t="e">
        <f t="shared" si="16"/>
        <v>#DIV/0!</v>
      </c>
      <c r="E1035" s="116"/>
    </row>
    <row r="1036" spans="1:5" ht="19.5" customHeight="1">
      <c r="A1036" s="116" t="s">
        <v>647</v>
      </c>
      <c r="B1036" s="116"/>
      <c r="C1036" s="116"/>
      <c r="D1036" s="176" t="e">
        <f t="shared" si="16"/>
        <v>#DIV/0!</v>
      </c>
      <c r="E1036" s="116"/>
    </row>
    <row r="1037" spans="1:5" ht="19.5" customHeight="1">
      <c r="A1037" s="116" t="s">
        <v>648</v>
      </c>
      <c r="B1037" s="116"/>
      <c r="C1037" s="116"/>
      <c r="D1037" s="176" t="e">
        <f t="shared" si="16"/>
        <v>#DIV/0!</v>
      </c>
      <c r="E1037" s="116"/>
    </row>
    <row r="1038" spans="1:5" ht="19.5" customHeight="1">
      <c r="A1038" s="116" t="s">
        <v>649</v>
      </c>
      <c r="B1038" s="116"/>
      <c r="C1038" s="116"/>
      <c r="D1038" s="176" t="e">
        <f t="shared" si="16"/>
        <v>#DIV/0!</v>
      </c>
      <c r="E1038" s="116"/>
    </row>
    <row r="1039" spans="1:5" ht="19.5" customHeight="1">
      <c r="A1039" s="116" t="s">
        <v>840</v>
      </c>
      <c r="B1039" s="116"/>
      <c r="C1039" s="116"/>
      <c r="D1039" s="176" t="e">
        <f t="shared" si="16"/>
        <v>#DIV/0!</v>
      </c>
      <c r="E1039" s="116"/>
    </row>
    <row r="1040" spans="1:5" ht="19.5" customHeight="1">
      <c r="A1040" s="116" t="s">
        <v>841</v>
      </c>
      <c r="B1040" s="116"/>
      <c r="C1040" s="116"/>
      <c r="D1040" s="176" t="e">
        <f t="shared" si="16"/>
        <v>#DIV/0!</v>
      </c>
      <c r="E1040" s="116"/>
    </row>
    <row r="1041" spans="1:5" ht="19.5" customHeight="1">
      <c r="A1041" s="116" t="s">
        <v>842</v>
      </c>
      <c r="B1041" s="116"/>
      <c r="C1041" s="116"/>
      <c r="D1041" s="176" t="e">
        <f t="shared" si="16"/>
        <v>#DIV/0!</v>
      </c>
      <c r="E1041" s="116"/>
    </row>
    <row r="1042" spans="1:5" ht="19.5" customHeight="1">
      <c r="A1042" s="116" t="s">
        <v>843</v>
      </c>
      <c r="B1042" s="116"/>
      <c r="C1042" s="116"/>
      <c r="D1042" s="176" t="e">
        <f t="shared" si="16"/>
        <v>#DIV/0!</v>
      </c>
      <c r="E1042" s="116"/>
    </row>
    <row r="1043" spans="1:5" ht="19.5" customHeight="1">
      <c r="A1043" s="116" t="s">
        <v>844</v>
      </c>
      <c r="B1043" s="116"/>
      <c r="C1043" s="116"/>
      <c r="D1043" s="176" t="e">
        <f t="shared" si="16"/>
        <v>#DIV/0!</v>
      </c>
      <c r="E1043" s="116"/>
    </row>
    <row r="1044" spans="1:5" ht="19.5" customHeight="1">
      <c r="A1044" s="116" t="s">
        <v>845</v>
      </c>
      <c r="B1044" s="116"/>
      <c r="C1044" s="116"/>
      <c r="D1044" s="176" t="e">
        <f t="shared" si="16"/>
        <v>#DIV/0!</v>
      </c>
      <c r="E1044" s="116"/>
    </row>
    <row r="1045" spans="1:5" ht="19.5" customHeight="1">
      <c r="A1045" s="116" t="s">
        <v>846</v>
      </c>
      <c r="B1045" s="116"/>
      <c r="C1045" s="116"/>
      <c r="D1045" s="176" t="e">
        <f t="shared" si="16"/>
        <v>#DIV/0!</v>
      </c>
      <c r="E1045" s="116"/>
    </row>
    <row r="1046" spans="1:5" ht="19.5" customHeight="1">
      <c r="A1046" s="116" t="s">
        <v>847</v>
      </c>
      <c r="B1046" s="116"/>
      <c r="C1046" s="116"/>
      <c r="D1046" s="176" t="e">
        <f t="shared" si="16"/>
        <v>#DIV/0!</v>
      </c>
      <c r="E1046" s="116"/>
    </row>
    <row r="1047" spans="1:5" ht="19.5" customHeight="1">
      <c r="A1047" s="116" t="s">
        <v>848</v>
      </c>
      <c r="B1047" s="116"/>
      <c r="C1047" s="116"/>
      <c r="D1047" s="176" t="e">
        <f t="shared" si="16"/>
        <v>#DIV/0!</v>
      </c>
      <c r="E1047" s="116"/>
    </row>
    <row r="1048" spans="1:5" ht="19.5" customHeight="1">
      <c r="A1048" s="116" t="s">
        <v>849</v>
      </c>
      <c r="B1048" s="116"/>
      <c r="C1048" s="116"/>
      <c r="D1048" s="176" t="e">
        <f t="shared" si="16"/>
        <v>#DIV/0!</v>
      </c>
      <c r="E1048" s="116"/>
    </row>
    <row r="1049" spans="1:5" ht="19.5" customHeight="1">
      <c r="A1049" s="116" t="s">
        <v>850</v>
      </c>
      <c r="B1049" s="116"/>
      <c r="C1049" s="116"/>
      <c r="D1049" s="176" t="e">
        <f t="shared" si="16"/>
        <v>#DIV/0!</v>
      </c>
      <c r="E1049" s="116"/>
    </row>
    <row r="1050" spans="1:5" ht="19.5" customHeight="1">
      <c r="A1050" s="116" t="s">
        <v>851</v>
      </c>
      <c r="B1050" s="116"/>
      <c r="C1050" s="116"/>
      <c r="D1050" s="176" t="e">
        <f t="shared" si="16"/>
        <v>#DIV/0!</v>
      </c>
      <c r="E1050" s="116"/>
    </row>
    <row r="1051" spans="1:5" ht="19.5" customHeight="1">
      <c r="A1051" s="116" t="s">
        <v>852</v>
      </c>
      <c r="B1051" s="116">
        <f>SUM(B1052:B1055)</f>
        <v>0</v>
      </c>
      <c r="C1051" s="114">
        <f>SUM(C1052:C1055)</f>
        <v>0</v>
      </c>
      <c r="D1051" s="176" t="e">
        <f t="shared" si="16"/>
        <v>#DIV/0!</v>
      </c>
      <c r="E1051" s="116"/>
    </row>
    <row r="1052" spans="1:5" ht="19.5" customHeight="1">
      <c r="A1052" s="116" t="s">
        <v>647</v>
      </c>
      <c r="B1052" s="116"/>
      <c r="C1052" s="116"/>
      <c r="D1052" s="176" t="e">
        <f t="shared" si="16"/>
        <v>#DIV/0!</v>
      </c>
      <c r="E1052" s="116"/>
    </row>
    <row r="1053" spans="1:5" ht="19.5" customHeight="1">
      <c r="A1053" s="116" t="s">
        <v>648</v>
      </c>
      <c r="B1053" s="116"/>
      <c r="C1053" s="116"/>
      <c r="D1053" s="176" t="e">
        <f t="shared" si="16"/>
        <v>#DIV/0!</v>
      </c>
      <c r="E1053" s="116"/>
    </row>
    <row r="1054" spans="1:5" ht="19.5" customHeight="1">
      <c r="A1054" s="116" t="s">
        <v>649</v>
      </c>
      <c r="B1054" s="116"/>
      <c r="C1054" s="116"/>
      <c r="D1054" s="176" t="e">
        <f t="shared" si="16"/>
        <v>#DIV/0!</v>
      </c>
      <c r="E1054" s="116"/>
    </row>
    <row r="1055" spans="1:5" ht="19.5" customHeight="1">
      <c r="A1055" s="116" t="s">
        <v>853</v>
      </c>
      <c r="B1055" s="116"/>
      <c r="C1055" s="116"/>
      <c r="D1055" s="176" t="e">
        <f t="shared" si="16"/>
        <v>#DIV/0!</v>
      </c>
      <c r="E1055" s="116"/>
    </row>
    <row r="1056" spans="1:5" ht="19.5" customHeight="1">
      <c r="A1056" s="116" t="s">
        <v>854</v>
      </c>
      <c r="B1056" s="116">
        <f>SUM(B1057:B1069)</f>
        <v>0</v>
      </c>
      <c r="C1056" s="114">
        <f>SUM(C1057:C1069)</f>
        <v>0</v>
      </c>
      <c r="D1056" s="176" t="e">
        <f t="shared" si="16"/>
        <v>#DIV/0!</v>
      </c>
      <c r="E1056" s="116"/>
    </row>
    <row r="1057" spans="1:5" ht="19.5" customHeight="1">
      <c r="A1057" s="116" t="s">
        <v>647</v>
      </c>
      <c r="B1057" s="116"/>
      <c r="C1057" s="116"/>
      <c r="D1057" s="176" t="e">
        <f t="shared" si="16"/>
        <v>#DIV/0!</v>
      </c>
      <c r="E1057" s="116"/>
    </row>
    <row r="1058" spans="1:5" ht="19.5" customHeight="1">
      <c r="A1058" s="116" t="s">
        <v>648</v>
      </c>
      <c r="B1058" s="116"/>
      <c r="C1058" s="116"/>
      <c r="D1058" s="176" t="e">
        <f t="shared" si="16"/>
        <v>#DIV/0!</v>
      </c>
      <c r="E1058" s="116"/>
    </row>
    <row r="1059" spans="1:5" ht="19.5" customHeight="1">
      <c r="A1059" s="116" t="s">
        <v>649</v>
      </c>
      <c r="B1059" s="116"/>
      <c r="C1059" s="116"/>
      <c r="D1059" s="176" t="e">
        <f t="shared" si="16"/>
        <v>#DIV/0!</v>
      </c>
      <c r="E1059" s="116"/>
    </row>
    <row r="1060" spans="1:5" ht="19.5" customHeight="1">
      <c r="A1060" s="116" t="s">
        <v>855</v>
      </c>
      <c r="B1060" s="116"/>
      <c r="C1060" s="116"/>
      <c r="D1060" s="176" t="e">
        <f t="shared" si="16"/>
        <v>#DIV/0!</v>
      </c>
      <c r="E1060" s="116"/>
    </row>
    <row r="1061" spans="1:5" ht="19.5" customHeight="1">
      <c r="A1061" s="116" t="s">
        <v>856</v>
      </c>
      <c r="B1061" s="116"/>
      <c r="C1061" s="116"/>
      <c r="D1061" s="176" t="e">
        <f t="shared" si="16"/>
        <v>#DIV/0!</v>
      </c>
      <c r="E1061" s="116"/>
    </row>
    <row r="1062" spans="1:5" ht="19.5" customHeight="1">
      <c r="A1062" s="116" t="s">
        <v>857</v>
      </c>
      <c r="B1062" s="116"/>
      <c r="C1062" s="116"/>
      <c r="D1062" s="176" t="e">
        <f t="shared" si="16"/>
        <v>#DIV/0!</v>
      </c>
      <c r="E1062" s="116"/>
    </row>
    <row r="1063" spans="1:5" ht="19.5" customHeight="1">
      <c r="A1063" s="116" t="s">
        <v>858</v>
      </c>
      <c r="B1063" s="116"/>
      <c r="C1063" s="116"/>
      <c r="D1063" s="176" t="e">
        <f t="shared" si="16"/>
        <v>#DIV/0!</v>
      </c>
      <c r="E1063" s="116"/>
    </row>
    <row r="1064" spans="1:5" ht="19.5" customHeight="1">
      <c r="A1064" s="116" t="s">
        <v>859</v>
      </c>
      <c r="B1064" s="116"/>
      <c r="C1064" s="116"/>
      <c r="D1064" s="176" t="e">
        <f t="shared" si="16"/>
        <v>#DIV/0!</v>
      </c>
      <c r="E1064" s="116"/>
    </row>
    <row r="1065" spans="1:5" ht="19.5" customHeight="1">
      <c r="A1065" s="116" t="s">
        <v>860</v>
      </c>
      <c r="B1065" s="116"/>
      <c r="C1065" s="116"/>
      <c r="D1065" s="176" t="e">
        <f t="shared" si="16"/>
        <v>#DIV/0!</v>
      </c>
      <c r="E1065" s="116"/>
    </row>
    <row r="1066" spans="1:5" ht="19.5" customHeight="1">
      <c r="A1066" s="116" t="s">
        <v>861</v>
      </c>
      <c r="B1066" s="116"/>
      <c r="C1066" s="116"/>
      <c r="D1066" s="176" t="e">
        <f t="shared" si="16"/>
        <v>#DIV/0!</v>
      </c>
      <c r="E1066" s="116"/>
    </row>
    <row r="1067" spans="1:5" ht="19.5" customHeight="1">
      <c r="A1067" s="116" t="s">
        <v>806</v>
      </c>
      <c r="B1067" s="116"/>
      <c r="C1067" s="116"/>
      <c r="D1067" s="176" t="e">
        <f t="shared" si="16"/>
        <v>#DIV/0!</v>
      </c>
      <c r="E1067" s="116"/>
    </row>
    <row r="1068" spans="1:5" ht="19.5" customHeight="1">
      <c r="A1068" s="116" t="s">
        <v>862</v>
      </c>
      <c r="B1068" s="116"/>
      <c r="C1068" s="116"/>
      <c r="D1068" s="176" t="e">
        <f t="shared" si="16"/>
        <v>#DIV/0!</v>
      </c>
      <c r="E1068" s="116"/>
    </row>
    <row r="1069" spans="1:5" ht="19.5" customHeight="1">
      <c r="A1069" s="116" t="s">
        <v>863</v>
      </c>
      <c r="B1069" s="116"/>
      <c r="C1069" s="116"/>
      <c r="D1069" s="176" t="e">
        <f t="shared" si="16"/>
        <v>#DIV/0!</v>
      </c>
      <c r="E1069" s="116"/>
    </row>
    <row r="1070" spans="1:5" ht="19.5" customHeight="1">
      <c r="A1070" s="116" t="s">
        <v>864</v>
      </c>
      <c r="B1070" s="116">
        <f>SUM(B1071:B1077)</f>
        <v>285</v>
      </c>
      <c r="C1070" s="114">
        <f>SUM(C1071:C1077)</f>
        <v>250</v>
      </c>
      <c r="D1070" s="176">
        <f t="shared" si="16"/>
        <v>87.71929824561403</v>
      </c>
      <c r="E1070" s="116"/>
    </row>
    <row r="1071" spans="1:5" ht="19.5" customHeight="1">
      <c r="A1071" s="116" t="s">
        <v>647</v>
      </c>
      <c r="B1071" s="116">
        <v>127</v>
      </c>
      <c r="C1071" s="116">
        <f>162</f>
        <v>162</v>
      </c>
      <c r="D1071" s="176">
        <f t="shared" si="16"/>
        <v>127.55905511811024</v>
      </c>
      <c r="E1071" s="116"/>
    </row>
    <row r="1072" spans="1:5" ht="19.5" customHeight="1">
      <c r="A1072" s="116" t="s">
        <v>648</v>
      </c>
      <c r="B1072" s="116">
        <v>148</v>
      </c>
      <c r="C1072" s="116">
        <f>88</f>
        <v>88</v>
      </c>
      <c r="D1072" s="176">
        <f t="shared" si="16"/>
        <v>59.45945945945946</v>
      </c>
      <c r="E1072" s="116"/>
    </row>
    <row r="1073" spans="1:5" ht="19.5" customHeight="1">
      <c r="A1073" s="116" t="s">
        <v>649</v>
      </c>
      <c r="B1073" s="116"/>
      <c r="C1073" s="116"/>
      <c r="D1073" s="176" t="e">
        <f t="shared" si="16"/>
        <v>#DIV/0!</v>
      </c>
      <c r="E1073" s="116"/>
    </row>
    <row r="1074" spans="1:5" ht="19.5" customHeight="1">
      <c r="A1074" s="116" t="s">
        <v>865</v>
      </c>
      <c r="B1074" s="116"/>
      <c r="C1074" s="116"/>
      <c r="D1074" s="176" t="e">
        <f t="shared" si="16"/>
        <v>#DIV/0!</v>
      </c>
      <c r="E1074" s="116"/>
    </row>
    <row r="1075" spans="1:5" ht="19.5" customHeight="1">
      <c r="A1075" s="116" t="s">
        <v>866</v>
      </c>
      <c r="B1075" s="116"/>
      <c r="C1075" s="116"/>
      <c r="D1075" s="176" t="e">
        <f t="shared" si="16"/>
        <v>#DIV/0!</v>
      </c>
      <c r="E1075" s="116"/>
    </row>
    <row r="1076" spans="1:5" ht="19.5" customHeight="1">
      <c r="A1076" s="116" t="s">
        <v>867</v>
      </c>
      <c r="B1076" s="116"/>
      <c r="C1076" s="116"/>
      <c r="D1076" s="176" t="e">
        <f t="shared" si="16"/>
        <v>#DIV/0!</v>
      </c>
      <c r="E1076" s="116"/>
    </row>
    <row r="1077" spans="1:5" ht="19.5" customHeight="1">
      <c r="A1077" s="116" t="s">
        <v>868</v>
      </c>
      <c r="B1077" s="116">
        <v>10</v>
      </c>
      <c r="C1077" s="116"/>
      <c r="D1077" s="176">
        <f t="shared" si="16"/>
        <v>0</v>
      </c>
      <c r="E1077" s="116"/>
    </row>
    <row r="1078" spans="1:5" ht="19.5" customHeight="1">
      <c r="A1078" s="116" t="s">
        <v>869</v>
      </c>
      <c r="B1078" s="116">
        <f>SUM(B1079:B1083)</f>
        <v>0</v>
      </c>
      <c r="C1078" s="114">
        <f>SUM(C1079:C1083)</f>
        <v>0</v>
      </c>
      <c r="D1078" s="176" t="e">
        <f t="shared" si="16"/>
        <v>#DIV/0!</v>
      </c>
      <c r="E1078" s="116"/>
    </row>
    <row r="1079" spans="1:5" ht="19.5" customHeight="1">
      <c r="A1079" s="116" t="s">
        <v>647</v>
      </c>
      <c r="B1079" s="116"/>
      <c r="C1079" s="116"/>
      <c r="D1079" s="176" t="e">
        <f t="shared" si="16"/>
        <v>#DIV/0!</v>
      </c>
      <c r="E1079" s="116"/>
    </row>
    <row r="1080" spans="1:5" ht="19.5" customHeight="1">
      <c r="A1080" s="116" t="s">
        <v>648</v>
      </c>
      <c r="B1080" s="116"/>
      <c r="C1080" s="116"/>
      <c r="D1080" s="176" t="e">
        <f t="shared" si="16"/>
        <v>#DIV/0!</v>
      </c>
      <c r="E1080" s="116"/>
    </row>
    <row r="1081" spans="1:5" ht="19.5" customHeight="1">
      <c r="A1081" s="116" t="s">
        <v>649</v>
      </c>
      <c r="B1081" s="116"/>
      <c r="C1081" s="116"/>
      <c r="D1081" s="176" t="e">
        <f t="shared" si="16"/>
        <v>#DIV/0!</v>
      </c>
      <c r="E1081" s="116"/>
    </row>
    <row r="1082" spans="1:5" ht="19.5" customHeight="1">
      <c r="A1082" s="116" t="s">
        <v>870</v>
      </c>
      <c r="B1082" s="116"/>
      <c r="C1082" s="116"/>
      <c r="D1082" s="176" t="e">
        <f t="shared" si="16"/>
        <v>#DIV/0!</v>
      </c>
      <c r="E1082" s="116"/>
    </row>
    <row r="1083" spans="1:5" ht="19.5" customHeight="1">
      <c r="A1083" s="116" t="s">
        <v>871</v>
      </c>
      <c r="B1083" s="116"/>
      <c r="C1083" s="116"/>
      <c r="D1083" s="176" t="e">
        <f t="shared" si="16"/>
        <v>#DIV/0!</v>
      </c>
      <c r="E1083" s="116"/>
    </row>
    <row r="1084" spans="1:5" ht="19.5" customHeight="1">
      <c r="A1084" s="116" t="s">
        <v>872</v>
      </c>
      <c r="B1084" s="116">
        <f>SUM(B1085:B1090)</f>
        <v>140</v>
      </c>
      <c r="C1084" s="114">
        <f>SUM(C1085:C1090)</f>
        <v>257</v>
      </c>
      <c r="D1084" s="176">
        <f t="shared" si="16"/>
        <v>183.57142857142856</v>
      </c>
      <c r="E1084" s="116"/>
    </row>
    <row r="1085" spans="1:5" ht="19.5" customHeight="1">
      <c r="A1085" s="116" t="s">
        <v>647</v>
      </c>
      <c r="B1085" s="116">
        <v>122</v>
      </c>
      <c r="C1085" s="116">
        <f>153</f>
        <v>153</v>
      </c>
      <c r="D1085" s="176">
        <f t="shared" si="16"/>
        <v>125.40983606557377</v>
      </c>
      <c r="E1085" s="116"/>
    </row>
    <row r="1086" spans="1:5" ht="19.5" customHeight="1">
      <c r="A1086" s="116" t="s">
        <v>648</v>
      </c>
      <c r="B1086" s="116">
        <v>5</v>
      </c>
      <c r="C1086" s="116">
        <f>2</f>
        <v>2</v>
      </c>
      <c r="D1086" s="176">
        <f t="shared" si="16"/>
        <v>40</v>
      </c>
      <c r="E1086" s="116"/>
    </row>
    <row r="1087" spans="1:5" ht="19.5" customHeight="1">
      <c r="A1087" s="116" t="s">
        <v>649</v>
      </c>
      <c r="B1087" s="116"/>
      <c r="C1087" s="116"/>
      <c r="D1087" s="176" t="e">
        <f t="shared" si="16"/>
        <v>#DIV/0!</v>
      </c>
      <c r="E1087" s="116"/>
    </row>
    <row r="1088" spans="1:5" ht="19.5" customHeight="1">
      <c r="A1088" s="116" t="s">
        <v>873</v>
      </c>
      <c r="B1088" s="116"/>
      <c r="C1088" s="116"/>
      <c r="D1088" s="176" t="e">
        <f t="shared" si="16"/>
        <v>#DIV/0!</v>
      </c>
      <c r="E1088" s="116"/>
    </row>
    <row r="1089" spans="1:5" ht="19.5" customHeight="1">
      <c r="A1089" s="116" t="s">
        <v>874</v>
      </c>
      <c r="B1089" s="116">
        <v>10</v>
      </c>
      <c r="C1089" s="116">
        <f>100</f>
        <v>100</v>
      </c>
      <c r="D1089" s="176">
        <f t="shared" si="16"/>
        <v>1000</v>
      </c>
      <c r="E1089" s="116"/>
    </row>
    <row r="1090" spans="1:5" ht="19.5" customHeight="1">
      <c r="A1090" s="116" t="s">
        <v>875</v>
      </c>
      <c r="B1090" s="116">
        <v>3</v>
      </c>
      <c r="C1090" s="116">
        <f>2</f>
        <v>2</v>
      </c>
      <c r="D1090" s="176">
        <f t="shared" si="16"/>
        <v>66.66666666666666</v>
      </c>
      <c r="E1090" s="116"/>
    </row>
    <row r="1091" spans="1:5" ht="19.5" customHeight="1">
      <c r="A1091" s="116" t="s">
        <v>876</v>
      </c>
      <c r="B1091" s="116">
        <f>SUM(B1092:B1097)</f>
        <v>0</v>
      </c>
      <c r="C1091" s="114">
        <f>SUM(C1092:C1097)</f>
        <v>0</v>
      </c>
      <c r="D1091" s="176" t="e">
        <f t="shared" si="16"/>
        <v>#DIV/0!</v>
      </c>
      <c r="E1091" s="116"/>
    </row>
    <row r="1092" spans="1:5" ht="19.5" customHeight="1">
      <c r="A1092" s="116" t="s">
        <v>877</v>
      </c>
      <c r="B1092" s="116"/>
      <c r="C1092" s="116"/>
      <c r="D1092" s="176" t="e">
        <f t="shared" si="16"/>
        <v>#DIV/0!</v>
      </c>
      <c r="E1092" s="116"/>
    </row>
    <row r="1093" spans="1:5" ht="19.5" customHeight="1">
      <c r="A1093" s="116" t="s">
        <v>878</v>
      </c>
      <c r="B1093" s="116"/>
      <c r="C1093" s="116"/>
      <c r="D1093" s="176" t="e">
        <f aca="true" t="shared" si="17" ref="D1093:D1156">C1093/B1093*100</f>
        <v>#DIV/0!</v>
      </c>
      <c r="E1093" s="116"/>
    </row>
    <row r="1094" spans="1:5" ht="19.5" customHeight="1">
      <c r="A1094" s="116" t="s">
        <v>879</v>
      </c>
      <c r="B1094" s="116"/>
      <c r="C1094" s="116"/>
      <c r="D1094" s="176" t="e">
        <f t="shared" si="17"/>
        <v>#DIV/0!</v>
      </c>
      <c r="E1094" s="116"/>
    </row>
    <row r="1095" spans="1:5" ht="19.5" customHeight="1">
      <c r="A1095" s="116" t="s">
        <v>880</v>
      </c>
      <c r="B1095" s="116"/>
      <c r="C1095" s="116"/>
      <c r="D1095" s="176" t="e">
        <f t="shared" si="17"/>
        <v>#DIV/0!</v>
      </c>
      <c r="E1095" s="116"/>
    </row>
    <row r="1096" spans="1:5" ht="19.5" customHeight="1">
      <c r="A1096" s="116" t="s">
        <v>881</v>
      </c>
      <c r="B1096" s="116"/>
      <c r="C1096" s="116"/>
      <c r="D1096" s="176" t="e">
        <f t="shared" si="17"/>
        <v>#DIV/0!</v>
      </c>
      <c r="E1096" s="116"/>
    </row>
    <row r="1097" spans="1:5" ht="19.5" customHeight="1">
      <c r="A1097" s="116" t="s">
        <v>882</v>
      </c>
      <c r="B1097" s="116"/>
      <c r="C1097" s="116"/>
      <c r="D1097" s="176" t="e">
        <f t="shared" si="17"/>
        <v>#DIV/0!</v>
      </c>
      <c r="E1097" s="116"/>
    </row>
    <row r="1098" spans="1:5" ht="19.5" customHeight="1">
      <c r="A1098" s="116" t="s">
        <v>883</v>
      </c>
      <c r="B1098" s="116">
        <f>SUM(B1099,B1109,B1116,B1122)</f>
        <v>424</v>
      </c>
      <c r="C1098" s="114">
        <f>C1099+C1109+C1116+C1122</f>
        <v>126</v>
      </c>
      <c r="D1098" s="176">
        <f t="shared" si="17"/>
        <v>29.71698113207547</v>
      </c>
      <c r="E1098" s="116"/>
    </row>
    <row r="1099" spans="1:5" ht="19.5" customHeight="1">
      <c r="A1099" s="116" t="s">
        <v>884</v>
      </c>
      <c r="B1099" s="116">
        <f>SUM(B1100:B1108)</f>
        <v>124</v>
      </c>
      <c r="C1099" s="114">
        <f>SUM(C1100:C1108)</f>
        <v>126</v>
      </c>
      <c r="D1099" s="176">
        <f t="shared" si="17"/>
        <v>101.61290322580645</v>
      </c>
      <c r="E1099" s="116"/>
    </row>
    <row r="1100" spans="1:5" ht="19.5" customHeight="1">
      <c r="A1100" s="116" t="s">
        <v>647</v>
      </c>
      <c r="B1100" s="116"/>
      <c r="C1100" s="116"/>
      <c r="D1100" s="176" t="e">
        <f t="shared" si="17"/>
        <v>#DIV/0!</v>
      </c>
      <c r="E1100" s="116"/>
    </row>
    <row r="1101" spans="1:5" ht="19.5" customHeight="1">
      <c r="A1101" s="116" t="s">
        <v>648</v>
      </c>
      <c r="B1101" s="116"/>
      <c r="C1101" s="116"/>
      <c r="D1101" s="176" t="e">
        <f t="shared" si="17"/>
        <v>#DIV/0!</v>
      </c>
      <c r="E1101" s="116"/>
    </row>
    <row r="1102" spans="1:5" ht="19.5" customHeight="1">
      <c r="A1102" s="116" t="s">
        <v>649</v>
      </c>
      <c r="B1102" s="116"/>
      <c r="C1102" s="116"/>
      <c r="D1102" s="176" t="e">
        <f t="shared" si="17"/>
        <v>#DIV/0!</v>
      </c>
      <c r="E1102" s="116"/>
    </row>
    <row r="1103" spans="1:5" ht="19.5" customHeight="1">
      <c r="A1103" s="116" t="s">
        <v>885</v>
      </c>
      <c r="B1103" s="116"/>
      <c r="C1103" s="116"/>
      <c r="D1103" s="176" t="e">
        <f t="shared" si="17"/>
        <v>#DIV/0!</v>
      </c>
      <c r="E1103" s="116"/>
    </row>
    <row r="1104" spans="1:5" ht="19.5" customHeight="1">
      <c r="A1104" s="116" t="s">
        <v>886</v>
      </c>
      <c r="B1104" s="116"/>
      <c r="C1104" s="116"/>
      <c r="D1104" s="176" t="e">
        <f t="shared" si="17"/>
        <v>#DIV/0!</v>
      </c>
      <c r="E1104" s="116"/>
    </row>
    <row r="1105" spans="1:5" ht="19.5" customHeight="1">
      <c r="A1105" s="116" t="s">
        <v>887</v>
      </c>
      <c r="B1105" s="116"/>
      <c r="C1105" s="116"/>
      <c r="D1105" s="176" t="e">
        <f t="shared" si="17"/>
        <v>#DIV/0!</v>
      </c>
      <c r="E1105" s="116"/>
    </row>
    <row r="1106" spans="1:5" ht="19.5" customHeight="1">
      <c r="A1106" s="116" t="s">
        <v>888</v>
      </c>
      <c r="B1106" s="116"/>
      <c r="C1106" s="116"/>
      <c r="D1106" s="176" t="e">
        <f t="shared" si="17"/>
        <v>#DIV/0!</v>
      </c>
      <c r="E1106" s="116"/>
    </row>
    <row r="1107" spans="1:5" ht="19.5" customHeight="1">
      <c r="A1107" s="116" t="s">
        <v>667</v>
      </c>
      <c r="B1107" s="116">
        <v>124</v>
      </c>
      <c r="C1107" s="116">
        <v>126</v>
      </c>
      <c r="D1107" s="176">
        <f t="shared" si="17"/>
        <v>101.61290322580645</v>
      </c>
      <c r="E1107" s="116"/>
    </row>
    <row r="1108" spans="1:5" ht="19.5" customHeight="1">
      <c r="A1108" s="116" t="s">
        <v>889</v>
      </c>
      <c r="B1108" s="116"/>
      <c r="C1108" s="116"/>
      <c r="D1108" s="176" t="e">
        <f t="shared" si="17"/>
        <v>#DIV/0!</v>
      </c>
      <c r="E1108" s="116"/>
    </row>
    <row r="1109" spans="1:5" ht="19.5" customHeight="1">
      <c r="A1109" s="116" t="s">
        <v>890</v>
      </c>
      <c r="B1109" s="116">
        <f>SUM(B1110:B1115)</f>
        <v>300</v>
      </c>
      <c r="C1109" s="114">
        <f>SUM(C1110:C1115)</f>
        <v>0</v>
      </c>
      <c r="D1109" s="176">
        <f t="shared" si="17"/>
        <v>0</v>
      </c>
      <c r="E1109" s="116"/>
    </row>
    <row r="1110" spans="1:5" ht="19.5" customHeight="1">
      <c r="A1110" s="116" t="s">
        <v>647</v>
      </c>
      <c r="B1110" s="116"/>
      <c r="C1110" s="116"/>
      <c r="D1110" s="176" t="e">
        <f t="shared" si="17"/>
        <v>#DIV/0!</v>
      </c>
      <c r="E1110" s="116"/>
    </row>
    <row r="1111" spans="1:5" ht="19.5" customHeight="1">
      <c r="A1111" s="116" t="s">
        <v>648</v>
      </c>
      <c r="B1111" s="116"/>
      <c r="C1111" s="116"/>
      <c r="D1111" s="176" t="e">
        <f t="shared" si="17"/>
        <v>#DIV/0!</v>
      </c>
      <c r="E1111" s="116"/>
    </row>
    <row r="1112" spans="1:5" ht="19.5" customHeight="1">
      <c r="A1112" s="116" t="s">
        <v>649</v>
      </c>
      <c r="B1112" s="116"/>
      <c r="C1112" s="116"/>
      <c r="D1112" s="176" t="e">
        <f t="shared" si="17"/>
        <v>#DIV/0!</v>
      </c>
      <c r="E1112" s="116"/>
    </row>
    <row r="1113" spans="1:5" ht="19.5" customHeight="1">
      <c r="A1113" s="116" t="s">
        <v>891</v>
      </c>
      <c r="B1113" s="116"/>
      <c r="C1113" s="116"/>
      <c r="D1113" s="176" t="e">
        <f t="shared" si="17"/>
        <v>#DIV/0!</v>
      </c>
      <c r="E1113" s="116"/>
    </row>
    <row r="1114" spans="1:5" ht="19.5" customHeight="1">
      <c r="A1114" s="116" t="s">
        <v>892</v>
      </c>
      <c r="B1114" s="116"/>
      <c r="C1114" s="116"/>
      <c r="D1114" s="176" t="e">
        <f t="shared" si="17"/>
        <v>#DIV/0!</v>
      </c>
      <c r="E1114" s="116"/>
    </row>
    <row r="1115" spans="1:5" ht="19.5" customHeight="1">
      <c r="A1115" s="116" t="s">
        <v>893</v>
      </c>
      <c r="B1115" s="116">
        <v>300</v>
      </c>
      <c r="C1115" s="116"/>
      <c r="D1115" s="176">
        <f t="shared" si="17"/>
        <v>0</v>
      </c>
      <c r="E1115" s="116"/>
    </row>
    <row r="1116" spans="1:5" ht="19.5" customHeight="1">
      <c r="A1116" s="116" t="s">
        <v>894</v>
      </c>
      <c r="B1116" s="116">
        <f>SUM(B1117:B1121)</f>
        <v>0</v>
      </c>
      <c r="C1116" s="114">
        <f>SUM(C1117:C1121)</f>
        <v>0</v>
      </c>
      <c r="D1116" s="176" t="e">
        <f t="shared" si="17"/>
        <v>#DIV/0!</v>
      </c>
      <c r="E1116" s="116"/>
    </row>
    <row r="1117" spans="1:5" ht="19.5" customHeight="1">
      <c r="A1117" s="116" t="s">
        <v>647</v>
      </c>
      <c r="B1117" s="116"/>
      <c r="C1117" s="116"/>
      <c r="D1117" s="176" t="e">
        <f t="shared" si="17"/>
        <v>#DIV/0!</v>
      </c>
      <c r="E1117" s="116"/>
    </row>
    <row r="1118" spans="1:5" ht="19.5" customHeight="1">
      <c r="A1118" s="116" t="s">
        <v>648</v>
      </c>
      <c r="B1118" s="116"/>
      <c r="C1118" s="116"/>
      <c r="D1118" s="176" t="e">
        <f t="shared" si="17"/>
        <v>#DIV/0!</v>
      </c>
      <c r="E1118" s="116"/>
    </row>
    <row r="1119" spans="1:5" ht="19.5" customHeight="1">
      <c r="A1119" s="116" t="s">
        <v>649</v>
      </c>
      <c r="B1119" s="116"/>
      <c r="C1119" s="116"/>
      <c r="D1119" s="176" t="e">
        <f t="shared" si="17"/>
        <v>#DIV/0!</v>
      </c>
      <c r="E1119" s="116"/>
    </row>
    <row r="1120" spans="1:5" ht="19.5" customHeight="1">
      <c r="A1120" s="116" t="s">
        <v>895</v>
      </c>
      <c r="B1120" s="116"/>
      <c r="C1120" s="116"/>
      <c r="D1120" s="176" t="e">
        <f t="shared" si="17"/>
        <v>#DIV/0!</v>
      </c>
      <c r="E1120" s="116"/>
    </row>
    <row r="1121" spans="1:5" ht="19.5" customHeight="1">
      <c r="A1121" s="116" t="s">
        <v>896</v>
      </c>
      <c r="B1121" s="116"/>
      <c r="C1121" s="116"/>
      <c r="D1121" s="176" t="e">
        <f t="shared" si="17"/>
        <v>#DIV/0!</v>
      </c>
      <c r="E1121" s="116"/>
    </row>
    <row r="1122" spans="1:5" ht="19.5" customHeight="1">
      <c r="A1122" s="116" t="s">
        <v>897</v>
      </c>
      <c r="B1122" s="116">
        <f>SUM(B1123:B1124)</f>
        <v>0</v>
      </c>
      <c r="C1122" s="114">
        <f>SUM(C1123:C1124)</f>
        <v>0</v>
      </c>
      <c r="D1122" s="176" t="e">
        <f t="shared" si="17"/>
        <v>#DIV/0!</v>
      </c>
      <c r="E1122" s="116"/>
    </row>
    <row r="1123" spans="1:5" ht="19.5" customHeight="1">
      <c r="A1123" s="116" t="s">
        <v>898</v>
      </c>
      <c r="B1123" s="116"/>
      <c r="C1123" s="116"/>
      <c r="D1123" s="176" t="e">
        <f t="shared" si="17"/>
        <v>#DIV/0!</v>
      </c>
      <c r="E1123" s="116"/>
    </row>
    <row r="1124" spans="1:5" ht="19.5" customHeight="1">
      <c r="A1124" s="116" t="s">
        <v>899</v>
      </c>
      <c r="B1124" s="116"/>
      <c r="C1124" s="116"/>
      <c r="D1124" s="176" t="e">
        <f t="shared" si="17"/>
        <v>#DIV/0!</v>
      </c>
      <c r="E1124" s="116"/>
    </row>
    <row r="1125" spans="1:5" ht="19.5" customHeight="1">
      <c r="A1125" s="116" t="s">
        <v>900</v>
      </c>
      <c r="B1125" s="116">
        <f>SUM(B1126,B1133,B1139)</f>
        <v>0</v>
      </c>
      <c r="C1125" s="114">
        <f>C1126+C1133+C1139</f>
        <v>0</v>
      </c>
      <c r="D1125" s="176" t="e">
        <f t="shared" si="17"/>
        <v>#DIV/0!</v>
      </c>
      <c r="E1125" s="116"/>
    </row>
    <row r="1126" spans="1:5" ht="19.5" customHeight="1">
      <c r="A1126" s="116" t="s">
        <v>901</v>
      </c>
      <c r="B1126" s="116">
        <f>SUM(B1127:B1132)</f>
        <v>0</v>
      </c>
      <c r="C1126" s="114">
        <f>SUM(C1127:C1132)</f>
        <v>0</v>
      </c>
      <c r="D1126" s="176" t="e">
        <f t="shared" si="17"/>
        <v>#DIV/0!</v>
      </c>
      <c r="E1126" s="116"/>
    </row>
    <row r="1127" spans="1:5" ht="19.5" customHeight="1">
      <c r="A1127" s="116" t="s">
        <v>647</v>
      </c>
      <c r="B1127" s="116"/>
      <c r="C1127" s="116"/>
      <c r="D1127" s="176" t="e">
        <f t="shared" si="17"/>
        <v>#DIV/0!</v>
      </c>
      <c r="E1127" s="116"/>
    </row>
    <row r="1128" spans="1:5" ht="19.5" customHeight="1">
      <c r="A1128" s="116" t="s">
        <v>648</v>
      </c>
      <c r="B1128" s="116"/>
      <c r="C1128" s="116"/>
      <c r="D1128" s="176" t="e">
        <f t="shared" si="17"/>
        <v>#DIV/0!</v>
      </c>
      <c r="E1128" s="116"/>
    </row>
    <row r="1129" spans="1:5" ht="19.5" customHeight="1">
      <c r="A1129" s="116" t="s">
        <v>649</v>
      </c>
      <c r="B1129" s="116"/>
      <c r="C1129" s="116"/>
      <c r="D1129" s="176" t="e">
        <f t="shared" si="17"/>
        <v>#DIV/0!</v>
      </c>
      <c r="E1129" s="116"/>
    </row>
    <row r="1130" spans="1:5" ht="19.5" customHeight="1">
      <c r="A1130" s="116" t="s">
        <v>902</v>
      </c>
      <c r="B1130" s="116"/>
      <c r="C1130" s="116"/>
      <c r="D1130" s="176" t="e">
        <f t="shared" si="17"/>
        <v>#DIV/0!</v>
      </c>
      <c r="E1130" s="116"/>
    </row>
    <row r="1131" spans="1:5" ht="19.5" customHeight="1">
      <c r="A1131" s="116" t="s">
        <v>667</v>
      </c>
      <c r="B1131" s="116"/>
      <c r="C1131" s="116"/>
      <c r="D1131" s="176" t="e">
        <f t="shared" si="17"/>
        <v>#DIV/0!</v>
      </c>
      <c r="E1131" s="116"/>
    </row>
    <row r="1132" spans="1:5" ht="19.5" customHeight="1">
      <c r="A1132" s="116" t="s">
        <v>903</v>
      </c>
      <c r="B1132" s="116"/>
      <c r="C1132" s="116"/>
      <c r="D1132" s="176" t="e">
        <f t="shared" si="17"/>
        <v>#DIV/0!</v>
      </c>
      <c r="E1132" s="116"/>
    </row>
    <row r="1133" spans="1:5" ht="19.5" customHeight="1">
      <c r="A1133" s="116" t="s">
        <v>904</v>
      </c>
      <c r="B1133" s="116">
        <f>SUM(B1134:B1138)</f>
        <v>0</v>
      </c>
      <c r="C1133" s="114">
        <f>SUM(C1134:C1138)</f>
        <v>0</v>
      </c>
      <c r="D1133" s="176" t="e">
        <f t="shared" si="17"/>
        <v>#DIV/0!</v>
      </c>
      <c r="E1133" s="116"/>
    </row>
    <row r="1134" spans="1:5" ht="19.5" customHeight="1">
      <c r="A1134" s="116" t="s">
        <v>905</v>
      </c>
      <c r="B1134" s="116"/>
      <c r="C1134" s="116"/>
      <c r="D1134" s="176" t="e">
        <f t="shared" si="17"/>
        <v>#DIV/0!</v>
      </c>
      <c r="E1134" s="116"/>
    </row>
    <row r="1135" spans="1:5" ht="19.5" customHeight="1">
      <c r="A1135" s="116" t="s">
        <v>906</v>
      </c>
      <c r="B1135" s="116"/>
      <c r="C1135" s="116"/>
      <c r="D1135" s="176" t="e">
        <f t="shared" si="17"/>
        <v>#DIV/0!</v>
      </c>
      <c r="E1135" s="116"/>
    </row>
    <row r="1136" spans="1:5" ht="19.5" customHeight="1">
      <c r="A1136" s="116" t="s">
        <v>907</v>
      </c>
      <c r="B1136" s="116"/>
      <c r="C1136" s="116"/>
      <c r="D1136" s="176" t="e">
        <f t="shared" si="17"/>
        <v>#DIV/0!</v>
      </c>
      <c r="E1136" s="116"/>
    </row>
    <row r="1137" spans="1:5" ht="19.5" customHeight="1">
      <c r="A1137" s="116" t="s">
        <v>908</v>
      </c>
      <c r="B1137" s="116"/>
      <c r="C1137" s="116"/>
      <c r="D1137" s="176" t="e">
        <f t="shared" si="17"/>
        <v>#DIV/0!</v>
      </c>
      <c r="E1137" s="116"/>
    </row>
    <row r="1138" spans="1:5" ht="19.5" customHeight="1">
      <c r="A1138" s="116" t="s">
        <v>909</v>
      </c>
      <c r="B1138" s="116"/>
      <c r="C1138" s="116"/>
      <c r="D1138" s="176" t="e">
        <f t="shared" si="17"/>
        <v>#DIV/0!</v>
      </c>
      <c r="E1138" s="116"/>
    </row>
    <row r="1139" spans="1:5" ht="19.5" customHeight="1">
      <c r="A1139" s="116" t="s">
        <v>910</v>
      </c>
      <c r="B1139" s="116"/>
      <c r="C1139" s="116"/>
      <c r="D1139" s="176" t="e">
        <f t="shared" si="17"/>
        <v>#DIV/0!</v>
      </c>
      <c r="E1139" s="116"/>
    </row>
    <row r="1140" spans="1:5" ht="19.5" customHeight="1">
      <c r="A1140" s="116" t="s">
        <v>911</v>
      </c>
      <c r="B1140" s="116">
        <f>SUM(B1141:B1149)</f>
        <v>0</v>
      </c>
      <c r="C1140" s="114">
        <f>SUM(C1141:C1149)</f>
        <v>0</v>
      </c>
      <c r="D1140" s="176" t="e">
        <f t="shared" si="17"/>
        <v>#DIV/0!</v>
      </c>
      <c r="E1140" s="116"/>
    </row>
    <row r="1141" spans="1:5" ht="19.5" customHeight="1">
      <c r="A1141" s="116" t="s">
        <v>912</v>
      </c>
      <c r="B1141" s="116"/>
      <c r="C1141" s="116"/>
      <c r="D1141" s="176" t="e">
        <f t="shared" si="17"/>
        <v>#DIV/0!</v>
      </c>
      <c r="E1141" s="116"/>
    </row>
    <row r="1142" spans="1:5" ht="19.5" customHeight="1">
      <c r="A1142" s="116" t="s">
        <v>913</v>
      </c>
      <c r="B1142" s="116"/>
      <c r="C1142" s="116"/>
      <c r="D1142" s="176" t="e">
        <f t="shared" si="17"/>
        <v>#DIV/0!</v>
      </c>
      <c r="E1142" s="116"/>
    </row>
    <row r="1143" spans="1:5" ht="19.5" customHeight="1">
      <c r="A1143" s="116" t="s">
        <v>914</v>
      </c>
      <c r="B1143" s="116"/>
      <c r="C1143" s="116"/>
      <c r="D1143" s="176" t="e">
        <f t="shared" si="17"/>
        <v>#DIV/0!</v>
      </c>
      <c r="E1143" s="116"/>
    </row>
    <row r="1144" spans="1:5" ht="19.5" customHeight="1">
      <c r="A1144" s="116" t="s">
        <v>915</v>
      </c>
      <c r="B1144" s="116"/>
      <c r="C1144" s="116"/>
      <c r="D1144" s="176" t="e">
        <f t="shared" si="17"/>
        <v>#DIV/0!</v>
      </c>
      <c r="E1144" s="116"/>
    </row>
    <row r="1145" spans="1:5" ht="19.5" customHeight="1">
      <c r="A1145" s="116" t="s">
        <v>916</v>
      </c>
      <c r="B1145" s="116"/>
      <c r="C1145" s="116"/>
      <c r="D1145" s="176" t="e">
        <f t="shared" si="17"/>
        <v>#DIV/0!</v>
      </c>
      <c r="E1145" s="116"/>
    </row>
    <row r="1146" spans="1:5" ht="19.5" customHeight="1">
      <c r="A1146" s="116" t="s">
        <v>666</v>
      </c>
      <c r="B1146" s="116"/>
      <c r="C1146" s="116"/>
      <c r="D1146" s="176" t="e">
        <f t="shared" si="17"/>
        <v>#DIV/0!</v>
      </c>
      <c r="E1146" s="116"/>
    </row>
    <row r="1147" spans="1:5" ht="19.5" customHeight="1">
      <c r="A1147" s="116" t="s">
        <v>917</v>
      </c>
      <c r="B1147" s="116"/>
      <c r="C1147" s="116"/>
      <c r="D1147" s="176" t="e">
        <f t="shared" si="17"/>
        <v>#DIV/0!</v>
      </c>
      <c r="E1147" s="116"/>
    </row>
    <row r="1148" spans="1:5" ht="19.5" customHeight="1">
      <c r="A1148" s="116" t="s">
        <v>918</v>
      </c>
      <c r="B1148" s="116"/>
      <c r="C1148" s="116"/>
      <c r="D1148" s="176" t="e">
        <f t="shared" si="17"/>
        <v>#DIV/0!</v>
      </c>
      <c r="E1148" s="116"/>
    </row>
    <row r="1149" spans="1:5" ht="19.5" customHeight="1">
      <c r="A1149" s="116" t="s">
        <v>919</v>
      </c>
      <c r="B1149" s="116"/>
      <c r="C1149" s="116"/>
      <c r="D1149" s="176" t="e">
        <f t="shared" si="17"/>
        <v>#DIV/0!</v>
      </c>
      <c r="E1149" s="116"/>
    </row>
    <row r="1150" spans="1:5" ht="19.5" customHeight="1">
      <c r="A1150" s="116" t="s">
        <v>920</v>
      </c>
      <c r="B1150" s="116">
        <f>SUM(B1151,B1171,B1191,B1200,B1213,B1228)</f>
        <v>1414</v>
      </c>
      <c r="C1150" s="114">
        <f>C1151+C1171+C1191+C1200+C1213+C1228</f>
        <v>1165</v>
      </c>
      <c r="D1150" s="176">
        <f t="shared" si="17"/>
        <v>82.39038189533238</v>
      </c>
      <c r="E1150" s="116"/>
    </row>
    <row r="1151" spans="1:5" ht="19.5" customHeight="1">
      <c r="A1151" s="116" t="s">
        <v>921</v>
      </c>
      <c r="B1151" s="116">
        <f>SUM(B1152:B1170)</f>
        <v>1258</v>
      </c>
      <c r="C1151" s="114">
        <f>SUM(C1152:C1170)</f>
        <v>1022</v>
      </c>
      <c r="D1151" s="176">
        <f t="shared" si="17"/>
        <v>81.24006359300478</v>
      </c>
      <c r="E1151" s="116"/>
    </row>
    <row r="1152" spans="1:5" ht="19.5" customHeight="1">
      <c r="A1152" s="116" t="s">
        <v>647</v>
      </c>
      <c r="B1152" s="116"/>
      <c r="C1152" s="116"/>
      <c r="D1152" s="176" t="e">
        <f t="shared" si="17"/>
        <v>#DIV/0!</v>
      </c>
      <c r="E1152" s="116"/>
    </row>
    <row r="1153" spans="1:5" ht="19.5" customHeight="1">
      <c r="A1153" s="116" t="s">
        <v>648</v>
      </c>
      <c r="B1153" s="116"/>
      <c r="C1153" s="116"/>
      <c r="D1153" s="176" t="e">
        <f t="shared" si="17"/>
        <v>#DIV/0!</v>
      </c>
      <c r="E1153" s="116"/>
    </row>
    <row r="1154" spans="1:5" ht="19.5" customHeight="1">
      <c r="A1154" s="116" t="s">
        <v>649</v>
      </c>
      <c r="B1154" s="116"/>
      <c r="C1154" s="116"/>
      <c r="D1154" s="176" t="e">
        <f t="shared" si="17"/>
        <v>#DIV/0!</v>
      </c>
      <c r="E1154" s="116"/>
    </row>
    <row r="1155" spans="1:5" ht="19.5" customHeight="1">
      <c r="A1155" s="116" t="s">
        <v>922</v>
      </c>
      <c r="B1155" s="116"/>
      <c r="C1155" s="116"/>
      <c r="D1155" s="176" t="e">
        <f t="shared" si="17"/>
        <v>#DIV/0!</v>
      </c>
      <c r="E1155" s="116"/>
    </row>
    <row r="1156" spans="1:5" ht="19.5" customHeight="1">
      <c r="A1156" s="116" t="s">
        <v>923</v>
      </c>
      <c r="B1156" s="116">
        <v>15</v>
      </c>
      <c r="C1156" s="116"/>
      <c r="D1156" s="176">
        <f t="shared" si="17"/>
        <v>0</v>
      </c>
      <c r="E1156" s="116"/>
    </row>
    <row r="1157" spans="1:5" ht="19.5" customHeight="1">
      <c r="A1157" s="116" t="s">
        <v>924</v>
      </c>
      <c r="B1157" s="116">
        <v>112</v>
      </c>
      <c r="C1157" s="116">
        <v>500</v>
      </c>
      <c r="D1157" s="176">
        <f aca="true" t="shared" si="18" ref="D1157:D1220">C1157/B1157*100</f>
        <v>446.42857142857144</v>
      </c>
      <c r="E1157" s="116"/>
    </row>
    <row r="1158" spans="1:5" ht="19.5" customHeight="1">
      <c r="A1158" s="116" t="s">
        <v>925</v>
      </c>
      <c r="B1158" s="116"/>
      <c r="C1158" s="116"/>
      <c r="D1158" s="176" t="e">
        <f t="shared" si="18"/>
        <v>#DIV/0!</v>
      </c>
      <c r="E1158" s="116"/>
    </row>
    <row r="1159" spans="1:5" ht="19.5" customHeight="1">
      <c r="A1159" s="116" t="s">
        <v>926</v>
      </c>
      <c r="B1159" s="116"/>
      <c r="C1159" s="116"/>
      <c r="D1159" s="176" t="e">
        <f t="shared" si="18"/>
        <v>#DIV/0!</v>
      </c>
      <c r="E1159" s="116"/>
    </row>
    <row r="1160" spans="1:5" ht="19.5" customHeight="1">
      <c r="A1160" s="116" t="s">
        <v>927</v>
      </c>
      <c r="B1160" s="116"/>
      <c r="C1160" s="116"/>
      <c r="D1160" s="176" t="e">
        <f t="shared" si="18"/>
        <v>#DIV/0!</v>
      </c>
      <c r="E1160" s="116"/>
    </row>
    <row r="1161" spans="1:5" ht="19.5" customHeight="1">
      <c r="A1161" s="116" t="s">
        <v>928</v>
      </c>
      <c r="B1161" s="116"/>
      <c r="C1161" s="116"/>
      <c r="D1161" s="176" t="e">
        <f t="shared" si="18"/>
        <v>#DIV/0!</v>
      </c>
      <c r="E1161" s="116"/>
    </row>
    <row r="1162" spans="1:5" ht="19.5" customHeight="1">
      <c r="A1162" s="116" t="s">
        <v>929</v>
      </c>
      <c r="B1162" s="116">
        <v>780</v>
      </c>
      <c r="C1162" s="116">
        <v>163</v>
      </c>
      <c r="D1162" s="176">
        <f t="shared" si="18"/>
        <v>20.897435897435898</v>
      </c>
      <c r="E1162" s="116"/>
    </row>
    <row r="1163" spans="1:5" ht="19.5" customHeight="1">
      <c r="A1163" s="116" t="s">
        <v>930</v>
      </c>
      <c r="B1163" s="116"/>
      <c r="C1163" s="116"/>
      <c r="D1163" s="176" t="e">
        <f t="shared" si="18"/>
        <v>#DIV/0!</v>
      </c>
      <c r="E1163" s="116"/>
    </row>
    <row r="1164" spans="1:5" ht="19.5" customHeight="1">
      <c r="A1164" s="116" t="s">
        <v>931</v>
      </c>
      <c r="B1164" s="116"/>
      <c r="C1164" s="116"/>
      <c r="D1164" s="176" t="e">
        <f t="shared" si="18"/>
        <v>#DIV/0!</v>
      </c>
      <c r="E1164" s="116"/>
    </row>
    <row r="1165" spans="1:5" ht="19.5" customHeight="1">
      <c r="A1165" s="116" t="s">
        <v>932</v>
      </c>
      <c r="B1165" s="116"/>
      <c r="C1165" s="116"/>
      <c r="D1165" s="176" t="e">
        <f t="shared" si="18"/>
        <v>#DIV/0!</v>
      </c>
      <c r="E1165" s="116"/>
    </row>
    <row r="1166" spans="1:5" ht="19.5" customHeight="1">
      <c r="A1166" s="116" t="s">
        <v>933</v>
      </c>
      <c r="B1166" s="116"/>
      <c r="C1166" s="116"/>
      <c r="D1166" s="176" t="e">
        <f t="shared" si="18"/>
        <v>#DIV/0!</v>
      </c>
      <c r="E1166" s="116"/>
    </row>
    <row r="1167" spans="1:5" ht="19.5" customHeight="1">
      <c r="A1167" s="116" t="s">
        <v>934</v>
      </c>
      <c r="B1167" s="116"/>
      <c r="C1167" s="116"/>
      <c r="D1167" s="176" t="e">
        <f t="shared" si="18"/>
        <v>#DIV/0!</v>
      </c>
      <c r="E1167" s="116"/>
    </row>
    <row r="1168" spans="1:5" ht="19.5" customHeight="1">
      <c r="A1168" s="116" t="s">
        <v>935</v>
      </c>
      <c r="B1168" s="116"/>
      <c r="C1168" s="116"/>
      <c r="D1168" s="176" t="e">
        <f t="shared" si="18"/>
        <v>#DIV/0!</v>
      </c>
      <c r="E1168" s="116"/>
    </row>
    <row r="1169" spans="1:5" ht="19.5" customHeight="1">
      <c r="A1169" s="116" t="s">
        <v>667</v>
      </c>
      <c r="B1169" s="116">
        <v>318</v>
      </c>
      <c r="C1169" s="116">
        <f>355</f>
        <v>355</v>
      </c>
      <c r="D1169" s="176">
        <f t="shared" si="18"/>
        <v>111.63522012578618</v>
      </c>
      <c r="E1169" s="116"/>
    </row>
    <row r="1170" spans="1:5" ht="19.5" customHeight="1">
      <c r="A1170" s="116" t="s">
        <v>936</v>
      </c>
      <c r="B1170" s="116">
        <v>33</v>
      </c>
      <c r="C1170" s="116">
        <f>4</f>
        <v>4</v>
      </c>
      <c r="D1170" s="176">
        <f t="shared" si="18"/>
        <v>12.121212121212121</v>
      </c>
      <c r="E1170" s="116"/>
    </row>
    <row r="1171" spans="1:5" ht="19.5" customHeight="1">
      <c r="A1171" s="116" t="s">
        <v>937</v>
      </c>
      <c r="B1171" s="116"/>
      <c r="C1171" s="114">
        <f>SUM(C1172:C1190)</f>
        <v>0</v>
      </c>
      <c r="D1171" s="176" t="e">
        <f t="shared" si="18"/>
        <v>#DIV/0!</v>
      </c>
      <c r="E1171" s="116"/>
    </row>
    <row r="1172" spans="1:5" ht="19.5" customHeight="1">
      <c r="A1172" s="116" t="s">
        <v>647</v>
      </c>
      <c r="B1172" s="116"/>
      <c r="C1172" s="116"/>
      <c r="D1172" s="176" t="e">
        <f t="shared" si="18"/>
        <v>#DIV/0!</v>
      </c>
      <c r="E1172" s="116"/>
    </row>
    <row r="1173" spans="1:5" ht="19.5" customHeight="1">
      <c r="A1173" s="116" t="s">
        <v>648</v>
      </c>
      <c r="B1173" s="116"/>
      <c r="C1173" s="116"/>
      <c r="D1173" s="176" t="e">
        <f t="shared" si="18"/>
        <v>#DIV/0!</v>
      </c>
      <c r="E1173" s="116"/>
    </row>
    <row r="1174" spans="1:5" ht="19.5" customHeight="1">
      <c r="A1174" s="116" t="s">
        <v>649</v>
      </c>
      <c r="B1174" s="116"/>
      <c r="C1174" s="116"/>
      <c r="D1174" s="176" t="e">
        <f t="shared" si="18"/>
        <v>#DIV/0!</v>
      </c>
      <c r="E1174" s="116"/>
    </row>
    <row r="1175" spans="1:5" ht="19.5" customHeight="1">
      <c r="A1175" s="116" t="s">
        <v>938</v>
      </c>
      <c r="B1175" s="116"/>
      <c r="C1175" s="116"/>
      <c r="D1175" s="176" t="e">
        <f t="shared" si="18"/>
        <v>#DIV/0!</v>
      </c>
      <c r="E1175" s="116"/>
    </row>
    <row r="1176" spans="1:5" ht="19.5" customHeight="1">
      <c r="A1176" s="116" t="s">
        <v>939</v>
      </c>
      <c r="B1176" s="116"/>
      <c r="C1176" s="116"/>
      <c r="D1176" s="176" t="e">
        <f t="shared" si="18"/>
        <v>#DIV/0!</v>
      </c>
      <c r="E1176" s="116"/>
    </row>
    <row r="1177" spans="1:5" ht="19.5" customHeight="1">
      <c r="A1177" s="116" t="s">
        <v>940</v>
      </c>
      <c r="B1177" s="116"/>
      <c r="C1177" s="116"/>
      <c r="D1177" s="176" t="e">
        <f t="shared" si="18"/>
        <v>#DIV/0!</v>
      </c>
      <c r="E1177" s="116"/>
    </row>
    <row r="1178" spans="1:5" ht="19.5" customHeight="1">
      <c r="A1178" s="116" t="s">
        <v>941</v>
      </c>
      <c r="B1178" s="116"/>
      <c r="C1178" s="116"/>
      <c r="D1178" s="176" t="e">
        <f t="shared" si="18"/>
        <v>#DIV/0!</v>
      </c>
      <c r="E1178" s="116"/>
    </row>
    <row r="1179" spans="1:5" ht="19.5" customHeight="1">
      <c r="A1179" s="116" t="s">
        <v>942</v>
      </c>
      <c r="B1179" s="116"/>
      <c r="C1179" s="116"/>
      <c r="D1179" s="176" t="e">
        <f t="shared" si="18"/>
        <v>#DIV/0!</v>
      </c>
      <c r="E1179" s="116"/>
    </row>
    <row r="1180" spans="1:5" ht="19.5" customHeight="1">
      <c r="A1180" s="116" t="s">
        <v>943</v>
      </c>
      <c r="B1180" s="116"/>
      <c r="C1180" s="116"/>
      <c r="D1180" s="176" t="e">
        <f t="shared" si="18"/>
        <v>#DIV/0!</v>
      </c>
      <c r="E1180" s="116"/>
    </row>
    <row r="1181" spans="1:5" ht="19.5" customHeight="1">
      <c r="A1181" s="116" t="s">
        <v>944</v>
      </c>
      <c r="B1181" s="116"/>
      <c r="C1181" s="116"/>
      <c r="D1181" s="176" t="e">
        <f t="shared" si="18"/>
        <v>#DIV/0!</v>
      </c>
      <c r="E1181" s="116"/>
    </row>
    <row r="1182" spans="1:5" ht="19.5" customHeight="1">
      <c r="A1182" s="116" t="s">
        <v>945</v>
      </c>
      <c r="B1182" s="116"/>
      <c r="C1182" s="116"/>
      <c r="D1182" s="176" t="e">
        <f t="shared" si="18"/>
        <v>#DIV/0!</v>
      </c>
      <c r="E1182" s="116"/>
    </row>
    <row r="1183" spans="1:5" ht="19.5" customHeight="1">
      <c r="A1183" s="116" t="s">
        <v>946</v>
      </c>
      <c r="B1183" s="116"/>
      <c r="C1183" s="116"/>
      <c r="D1183" s="176" t="e">
        <f t="shared" si="18"/>
        <v>#DIV/0!</v>
      </c>
      <c r="E1183" s="116"/>
    </row>
    <row r="1184" spans="1:5" ht="19.5" customHeight="1">
      <c r="A1184" s="116" t="s">
        <v>947</v>
      </c>
      <c r="B1184" s="116"/>
      <c r="C1184" s="116"/>
      <c r="D1184" s="176" t="e">
        <f t="shared" si="18"/>
        <v>#DIV/0!</v>
      </c>
      <c r="E1184" s="116"/>
    </row>
    <row r="1185" spans="1:5" ht="19.5" customHeight="1">
      <c r="A1185" s="116" t="s">
        <v>948</v>
      </c>
      <c r="B1185" s="116"/>
      <c r="C1185" s="116"/>
      <c r="D1185" s="176" t="e">
        <f t="shared" si="18"/>
        <v>#DIV/0!</v>
      </c>
      <c r="E1185" s="116"/>
    </row>
    <row r="1186" spans="1:5" ht="19.5" customHeight="1">
      <c r="A1186" s="116" t="s">
        <v>949</v>
      </c>
      <c r="B1186" s="116"/>
      <c r="C1186" s="116"/>
      <c r="D1186" s="176" t="e">
        <f t="shared" si="18"/>
        <v>#DIV/0!</v>
      </c>
      <c r="E1186" s="116"/>
    </row>
    <row r="1187" spans="1:5" ht="19.5" customHeight="1">
      <c r="A1187" s="116" t="s">
        <v>950</v>
      </c>
      <c r="B1187" s="116"/>
      <c r="C1187" s="116"/>
      <c r="D1187" s="176" t="e">
        <f t="shared" si="18"/>
        <v>#DIV/0!</v>
      </c>
      <c r="E1187" s="116"/>
    </row>
    <row r="1188" spans="1:5" ht="19.5" customHeight="1">
      <c r="A1188" s="116" t="s">
        <v>951</v>
      </c>
      <c r="B1188" s="116"/>
      <c r="C1188" s="116"/>
      <c r="D1188" s="176" t="e">
        <f t="shared" si="18"/>
        <v>#DIV/0!</v>
      </c>
      <c r="E1188" s="116"/>
    </row>
    <row r="1189" spans="1:5" ht="19.5" customHeight="1">
      <c r="A1189" s="116" t="s">
        <v>667</v>
      </c>
      <c r="B1189" s="116"/>
      <c r="C1189" s="116"/>
      <c r="D1189" s="176" t="e">
        <f t="shared" si="18"/>
        <v>#DIV/0!</v>
      </c>
      <c r="E1189" s="116"/>
    </row>
    <row r="1190" spans="1:5" ht="19.5" customHeight="1">
      <c r="A1190" s="116" t="s">
        <v>952</v>
      </c>
      <c r="B1190" s="116"/>
      <c r="C1190" s="116"/>
      <c r="D1190" s="176" t="e">
        <f t="shared" si="18"/>
        <v>#DIV/0!</v>
      </c>
      <c r="E1190" s="116"/>
    </row>
    <row r="1191" spans="1:5" ht="19.5" customHeight="1">
      <c r="A1191" s="116" t="s">
        <v>953</v>
      </c>
      <c r="B1191" s="116">
        <f>SUM(B1192:B1199)</f>
        <v>0</v>
      </c>
      <c r="C1191" s="114">
        <f>SUM(C1192:C1199)</f>
        <v>0</v>
      </c>
      <c r="D1191" s="176" t="e">
        <f t="shared" si="18"/>
        <v>#DIV/0!</v>
      </c>
      <c r="E1191" s="116"/>
    </row>
    <row r="1192" spans="1:5" ht="19.5" customHeight="1">
      <c r="A1192" s="116" t="s">
        <v>647</v>
      </c>
      <c r="B1192" s="116"/>
      <c r="C1192" s="116"/>
      <c r="D1192" s="176" t="e">
        <f t="shared" si="18"/>
        <v>#DIV/0!</v>
      </c>
      <c r="E1192" s="116"/>
    </row>
    <row r="1193" spans="1:5" ht="19.5" customHeight="1">
      <c r="A1193" s="116" t="s">
        <v>648</v>
      </c>
      <c r="B1193" s="116"/>
      <c r="C1193" s="116"/>
      <c r="D1193" s="176" t="e">
        <f t="shared" si="18"/>
        <v>#DIV/0!</v>
      </c>
      <c r="E1193" s="116"/>
    </row>
    <row r="1194" spans="1:5" ht="19.5" customHeight="1">
      <c r="A1194" s="116" t="s">
        <v>649</v>
      </c>
      <c r="B1194" s="116"/>
      <c r="C1194" s="116"/>
      <c r="D1194" s="176" t="e">
        <f t="shared" si="18"/>
        <v>#DIV/0!</v>
      </c>
      <c r="E1194" s="116"/>
    </row>
    <row r="1195" spans="1:5" ht="19.5" customHeight="1">
      <c r="A1195" s="116" t="s">
        <v>954</v>
      </c>
      <c r="B1195" s="116"/>
      <c r="C1195" s="116"/>
      <c r="D1195" s="176" t="e">
        <f t="shared" si="18"/>
        <v>#DIV/0!</v>
      </c>
      <c r="E1195" s="116"/>
    </row>
    <row r="1196" spans="1:5" ht="19.5" customHeight="1">
      <c r="A1196" s="116" t="s">
        <v>955</v>
      </c>
      <c r="B1196" s="116"/>
      <c r="C1196" s="116"/>
      <c r="D1196" s="176" t="e">
        <f t="shared" si="18"/>
        <v>#DIV/0!</v>
      </c>
      <c r="E1196" s="116"/>
    </row>
    <row r="1197" spans="1:5" ht="19.5" customHeight="1">
      <c r="A1197" s="116" t="s">
        <v>956</v>
      </c>
      <c r="B1197" s="116"/>
      <c r="C1197" s="116"/>
      <c r="D1197" s="176" t="e">
        <f t="shared" si="18"/>
        <v>#DIV/0!</v>
      </c>
      <c r="E1197" s="116"/>
    </row>
    <row r="1198" spans="1:5" ht="19.5" customHeight="1">
      <c r="A1198" s="116" t="s">
        <v>667</v>
      </c>
      <c r="B1198" s="116"/>
      <c r="C1198" s="116"/>
      <c r="D1198" s="176" t="e">
        <f t="shared" si="18"/>
        <v>#DIV/0!</v>
      </c>
      <c r="E1198" s="116"/>
    </row>
    <row r="1199" spans="1:5" ht="19.5" customHeight="1">
      <c r="A1199" s="116" t="s">
        <v>957</v>
      </c>
      <c r="B1199" s="116"/>
      <c r="C1199" s="116"/>
      <c r="D1199" s="176" t="e">
        <f t="shared" si="18"/>
        <v>#DIV/0!</v>
      </c>
      <c r="E1199" s="116"/>
    </row>
    <row r="1200" spans="1:5" ht="19.5" customHeight="1">
      <c r="A1200" s="116" t="s">
        <v>958</v>
      </c>
      <c r="B1200" s="116">
        <f>SUM(B1201:B1212)</f>
        <v>102</v>
      </c>
      <c r="C1200" s="114">
        <f>SUM(C1201:C1212)</f>
        <v>101</v>
      </c>
      <c r="D1200" s="176">
        <f t="shared" si="18"/>
        <v>99.01960784313727</v>
      </c>
      <c r="E1200" s="116"/>
    </row>
    <row r="1201" spans="1:5" ht="19.5" customHeight="1">
      <c r="A1201" s="116" t="s">
        <v>647</v>
      </c>
      <c r="B1201" s="116"/>
      <c r="C1201" s="116"/>
      <c r="D1201" s="176" t="e">
        <f t="shared" si="18"/>
        <v>#DIV/0!</v>
      </c>
      <c r="E1201" s="116"/>
    </row>
    <row r="1202" spans="1:5" ht="19.5" customHeight="1">
      <c r="A1202" s="116" t="s">
        <v>648</v>
      </c>
      <c r="B1202" s="116"/>
      <c r="C1202" s="116"/>
      <c r="D1202" s="176" t="e">
        <f t="shared" si="18"/>
        <v>#DIV/0!</v>
      </c>
      <c r="E1202" s="116"/>
    </row>
    <row r="1203" spans="1:5" ht="19.5" customHeight="1">
      <c r="A1203" s="116" t="s">
        <v>649</v>
      </c>
      <c r="B1203" s="116"/>
      <c r="C1203" s="116"/>
      <c r="D1203" s="176" t="e">
        <f t="shared" si="18"/>
        <v>#DIV/0!</v>
      </c>
      <c r="E1203" s="116"/>
    </row>
    <row r="1204" spans="1:5" ht="19.5" customHeight="1">
      <c r="A1204" s="116" t="s">
        <v>959</v>
      </c>
      <c r="B1204" s="116"/>
      <c r="C1204" s="116"/>
      <c r="D1204" s="176" t="e">
        <f t="shared" si="18"/>
        <v>#DIV/0!</v>
      </c>
      <c r="E1204" s="116"/>
    </row>
    <row r="1205" spans="1:5" ht="19.5" customHeight="1">
      <c r="A1205" s="116" t="s">
        <v>960</v>
      </c>
      <c r="B1205" s="116"/>
      <c r="C1205" s="116"/>
      <c r="D1205" s="176" t="e">
        <f t="shared" si="18"/>
        <v>#DIV/0!</v>
      </c>
      <c r="E1205" s="116"/>
    </row>
    <row r="1206" spans="1:5" ht="19.5" customHeight="1">
      <c r="A1206" s="116" t="s">
        <v>961</v>
      </c>
      <c r="B1206" s="116"/>
      <c r="C1206" s="116"/>
      <c r="D1206" s="176" t="e">
        <f t="shared" si="18"/>
        <v>#DIV/0!</v>
      </c>
      <c r="E1206" s="116"/>
    </row>
    <row r="1207" spans="1:5" ht="19.5" customHeight="1">
      <c r="A1207" s="116" t="s">
        <v>962</v>
      </c>
      <c r="B1207" s="116"/>
      <c r="C1207" s="116"/>
      <c r="D1207" s="176" t="e">
        <f t="shared" si="18"/>
        <v>#DIV/0!</v>
      </c>
      <c r="E1207" s="116"/>
    </row>
    <row r="1208" spans="1:5" ht="19.5" customHeight="1">
      <c r="A1208" s="116" t="s">
        <v>963</v>
      </c>
      <c r="B1208" s="116"/>
      <c r="C1208" s="116"/>
      <c r="D1208" s="176" t="e">
        <f t="shared" si="18"/>
        <v>#DIV/0!</v>
      </c>
      <c r="E1208" s="116"/>
    </row>
    <row r="1209" spans="1:5" ht="19.5" customHeight="1">
      <c r="A1209" s="116" t="s">
        <v>964</v>
      </c>
      <c r="B1209" s="116"/>
      <c r="C1209" s="116"/>
      <c r="D1209" s="176" t="e">
        <f t="shared" si="18"/>
        <v>#DIV/0!</v>
      </c>
      <c r="E1209" s="116"/>
    </row>
    <row r="1210" spans="1:5" ht="19.5" customHeight="1">
      <c r="A1210" s="116" t="s">
        <v>965</v>
      </c>
      <c r="B1210" s="116"/>
      <c r="C1210" s="116"/>
      <c r="D1210" s="176" t="e">
        <f t="shared" si="18"/>
        <v>#DIV/0!</v>
      </c>
      <c r="E1210" s="116"/>
    </row>
    <row r="1211" spans="1:5" ht="19.5" customHeight="1">
      <c r="A1211" s="116" t="s">
        <v>966</v>
      </c>
      <c r="B1211" s="116">
        <v>102</v>
      </c>
      <c r="C1211" s="116">
        <v>101</v>
      </c>
      <c r="D1211" s="176">
        <f t="shared" si="18"/>
        <v>99.01960784313727</v>
      </c>
      <c r="E1211" s="116"/>
    </row>
    <row r="1212" spans="1:5" ht="19.5" customHeight="1">
      <c r="A1212" s="116" t="s">
        <v>967</v>
      </c>
      <c r="B1212" s="116"/>
      <c r="C1212" s="116"/>
      <c r="D1212" s="176" t="e">
        <f t="shared" si="18"/>
        <v>#DIV/0!</v>
      </c>
      <c r="E1212" s="116"/>
    </row>
    <row r="1213" spans="1:5" ht="19.5" customHeight="1">
      <c r="A1213" s="116" t="s">
        <v>968</v>
      </c>
      <c r="B1213" s="116">
        <f>SUM(B1214:B1227)</f>
        <v>54</v>
      </c>
      <c r="C1213" s="114">
        <f>SUM(C1214:C1227)</f>
        <v>42</v>
      </c>
      <c r="D1213" s="176">
        <f t="shared" si="18"/>
        <v>77.77777777777779</v>
      </c>
      <c r="E1213" s="116"/>
    </row>
    <row r="1214" spans="1:5" ht="19.5" customHeight="1">
      <c r="A1214" s="116" t="s">
        <v>647</v>
      </c>
      <c r="B1214" s="116"/>
      <c r="C1214" s="116"/>
      <c r="D1214" s="176" t="e">
        <f t="shared" si="18"/>
        <v>#DIV/0!</v>
      </c>
      <c r="E1214" s="116"/>
    </row>
    <row r="1215" spans="1:5" ht="19.5" customHeight="1">
      <c r="A1215" s="116" t="s">
        <v>648</v>
      </c>
      <c r="B1215" s="116"/>
      <c r="C1215" s="116"/>
      <c r="D1215" s="176" t="e">
        <f t="shared" si="18"/>
        <v>#DIV/0!</v>
      </c>
      <c r="E1215" s="116"/>
    </row>
    <row r="1216" spans="1:5" ht="19.5" customHeight="1">
      <c r="A1216" s="116" t="s">
        <v>649</v>
      </c>
      <c r="B1216" s="116"/>
      <c r="C1216" s="116"/>
      <c r="D1216" s="176" t="e">
        <f t="shared" si="18"/>
        <v>#DIV/0!</v>
      </c>
      <c r="E1216" s="116"/>
    </row>
    <row r="1217" spans="1:5" ht="19.5" customHeight="1">
      <c r="A1217" s="116" t="s">
        <v>969</v>
      </c>
      <c r="B1217" s="116">
        <v>29</v>
      </c>
      <c r="C1217" s="116">
        <v>25</v>
      </c>
      <c r="D1217" s="176">
        <f t="shared" si="18"/>
        <v>86.20689655172413</v>
      </c>
      <c r="E1217" s="116"/>
    </row>
    <row r="1218" spans="1:5" ht="19.5" customHeight="1">
      <c r="A1218" s="116" t="s">
        <v>970</v>
      </c>
      <c r="B1218" s="116"/>
      <c r="C1218" s="116"/>
      <c r="D1218" s="176" t="e">
        <f t="shared" si="18"/>
        <v>#DIV/0!</v>
      </c>
      <c r="E1218" s="116"/>
    </row>
    <row r="1219" spans="1:5" ht="19.5" customHeight="1">
      <c r="A1219" s="116" t="s">
        <v>971</v>
      </c>
      <c r="B1219" s="116"/>
      <c r="C1219" s="116"/>
      <c r="D1219" s="176" t="e">
        <f t="shared" si="18"/>
        <v>#DIV/0!</v>
      </c>
      <c r="E1219" s="116"/>
    </row>
    <row r="1220" spans="1:5" ht="19.5" customHeight="1">
      <c r="A1220" s="116" t="s">
        <v>972</v>
      </c>
      <c r="B1220" s="116"/>
      <c r="C1220" s="116"/>
      <c r="D1220" s="176" t="e">
        <f t="shared" si="18"/>
        <v>#DIV/0!</v>
      </c>
      <c r="E1220" s="116"/>
    </row>
    <row r="1221" spans="1:5" ht="19.5" customHeight="1">
      <c r="A1221" s="116" t="s">
        <v>973</v>
      </c>
      <c r="B1221" s="116">
        <v>9</v>
      </c>
      <c r="C1221" s="116">
        <v>6</v>
      </c>
      <c r="D1221" s="176">
        <f aca="true" t="shared" si="19" ref="D1221:D1284">C1221/B1221*100</f>
        <v>66.66666666666666</v>
      </c>
      <c r="E1221" s="116"/>
    </row>
    <row r="1222" spans="1:5" ht="19.5" customHeight="1">
      <c r="A1222" s="116" t="s">
        <v>974</v>
      </c>
      <c r="B1222" s="116"/>
      <c r="C1222" s="116"/>
      <c r="D1222" s="176" t="e">
        <f t="shared" si="19"/>
        <v>#DIV/0!</v>
      </c>
      <c r="E1222" s="116"/>
    </row>
    <row r="1223" spans="1:5" ht="19.5" customHeight="1">
      <c r="A1223" s="116" t="s">
        <v>975</v>
      </c>
      <c r="B1223" s="116"/>
      <c r="C1223" s="116"/>
      <c r="D1223" s="176" t="e">
        <f t="shared" si="19"/>
        <v>#DIV/0!</v>
      </c>
      <c r="E1223" s="116"/>
    </row>
    <row r="1224" spans="1:5" ht="19.5" customHeight="1">
      <c r="A1224" s="116" t="s">
        <v>976</v>
      </c>
      <c r="B1224" s="116"/>
      <c r="C1224" s="116"/>
      <c r="D1224" s="176" t="e">
        <f t="shared" si="19"/>
        <v>#DIV/0!</v>
      </c>
      <c r="E1224" s="116"/>
    </row>
    <row r="1225" spans="1:5" ht="19.5" customHeight="1">
      <c r="A1225" s="116" t="s">
        <v>977</v>
      </c>
      <c r="B1225" s="116"/>
      <c r="C1225" s="116"/>
      <c r="D1225" s="176" t="e">
        <f t="shared" si="19"/>
        <v>#DIV/0!</v>
      </c>
      <c r="E1225" s="116"/>
    </row>
    <row r="1226" spans="1:5" ht="19.5" customHeight="1">
      <c r="A1226" s="116" t="s">
        <v>978</v>
      </c>
      <c r="B1226" s="116"/>
      <c r="C1226" s="116"/>
      <c r="D1226" s="176" t="e">
        <f t="shared" si="19"/>
        <v>#DIV/0!</v>
      </c>
      <c r="E1226" s="116"/>
    </row>
    <row r="1227" spans="1:5" ht="19.5" customHeight="1">
      <c r="A1227" s="116" t="s">
        <v>979</v>
      </c>
      <c r="B1227" s="116">
        <v>16</v>
      </c>
      <c r="C1227" s="116">
        <v>11</v>
      </c>
      <c r="D1227" s="176">
        <f t="shared" si="19"/>
        <v>68.75</v>
      </c>
      <c r="E1227" s="116"/>
    </row>
    <row r="1228" spans="1:5" ht="19.5" customHeight="1">
      <c r="A1228" s="116" t="s">
        <v>980</v>
      </c>
      <c r="B1228" s="116"/>
      <c r="C1228" s="116"/>
      <c r="D1228" s="176" t="e">
        <f t="shared" si="19"/>
        <v>#DIV/0!</v>
      </c>
      <c r="E1228" s="116"/>
    </row>
    <row r="1229" spans="1:5" ht="19.5" customHeight="1">
      <c r="A1229" s="116" t="s">
        <v>981</v>
      </c>
      <c r="B1229" s="116">
        <f>SUM(B1230,B1239,B1243)</f>
        <v>5465</v>
      </c>
      <c r="C1229" s="114">
        <f>C1230+C1239+C1243</f>
        <v>4059</v>
      </c>
      <c r="D1229" s="176">
        <f t="shared" si="19"/>
        <v>74.27264409881062</v>
      </c>
      <c r="E1229" s="116"/>
    </row>
    <row r="1230" spans="1:5" ht="19.5" customHeight="1">
      <c r="A1230" s="116" t="s">
        <v>982</v>
      </c>
      <c r="B1230" s="116">
        <f>SUM(B1231:B1238)</f>
        <v>3165</v>
      </c>
      <c r="C1230" s="114">
        <f>SUM(C1231:C1238)</f>
        <v>1179</v>
      </c>
      <c r="D1230" s="176">
        <f t="shared" si="19"/>
        <v>37.25118483412322</v>
      </c>
      <c r="E1230" s="116"/>
    </row>
    <row r="1231" spans="1:5" ht="19.5" customHeight="1">
      <c r="A1231" s="116" t="s">
        <v>983</v>
      </c>
      <c r="B1231" s="116"/>
      <c r="C1231" s="116"/>
      <c r="D1231" s="176" t="e">
        <f t="shared" si="19"/>
        <v>#DIV/0!</v>
      </c>
      <c r="E1231" s="116"/>
    </row>
    <row r="1232" spans="1:5" ht="19.5" customHeight="1">
      <c r="A1232" s="116" t="s">
        <v>984</v>
      </c>
      <c r="B1232" s="116"/>
      <c r="C1232" s="116"/>
      <c r="D1232" s="176" t="e">
        <f t="shared" si="19"/>
        <v>#DIV/0!</v>
      </c>
      <c r="E1232" s="116"/>
    </row>
    <row r="1233" spans="1:5" ht="19.5" customHeight="1">
      <c r="A1233" s="116" t="s">
        <v>985</v>
      </c>
      <c r="B1233" s="116"/>
      <c r="C1233" s="116"/>
      <c r="D1233" s="176" t="e">
        <f t="shared" si="19"/>
        <v>#DIV/0!</v>
      </c>
      <c r="E1233" s="116"/>
    </row>
    <row r="1234" spans="1:5" ht="19.5" customHeight="1">
      <c r="A1234" s="116" t="s">
        <v>986</v>
      </c>
      <c r="B1234" s="116"/>
      <c r="C1234" s="116"/>
      <c r="D1234" s="176" t="e">
        <f t="shared" si="19"/>
        <v>#DIV/0!</v>
      </c>
      <c r="E1234" s="116"/>
    </row>
    <row r="1235" spans="1:5" ht="19.5" customHeight="1">
      <c r="A1235" s="116" t="s">
        <v>987</v>
      </c>
      <c r="B1235" s="116">
        <v>563</v>
      </c>
      <c r="C1235" s="116">
        <f>271+71+12+218</f>
        <v>572</v>
      </c>
      <c r="D1235" s="176">
        <f t="shared" si="19"/>
        <v>101.59857904085257</v>
      </c>
      <c r="E1235" s="116"/>
    </row>
    <row r="1236" spans="1:5" ht="19.5" customHeight="1">
      <c r="A1236" s="116" t="s">
        <v>988</v>
      </c>
      <c r="B1236" s="116"/>
      <c r="C1236" s="116"/>
      <c r="D1236" s="176" t="e">
        <f t="shared" si="19"/>
        <v>#DIV/0!</v>
      </c>
      <c r="E1236" s="116"/>
    </row>
    <row r="1237" spans="1:5" ht="19.5" customHeight="1">
      <c r="A1237" s="116" t="s">
        <v>989</v>
      </c>
      <c r="B1237" s="116">
        <v>232</v>
      </c>
      <c r="C1237" s="116">
        <v>34</v>
      </c>
      <c r="D1237" s="176">
        <f t="shared" si="19"/>
        <v>14.655172413793101</v>
      </c>
      <c r="E1237" s="116"/>
    </row>
    <row r="1238" spans="1:5" ht="19.5" customHeight="1">
      <c r="A1238" s="116" t="s">
        <v>990</v>
      </c>
      <c r="B1238" s="116">
        <v>2370</v>
      </c>
      <c r="C1238" s="116">
        <v>573</v>
      </c>
      <c r="D1238" s="176">
        <f t="shared" si="19"/>
        <v>24.17721518987342</v>
      </c>
      <c r="E1238" s="116"/>
    </row>
    <row r="1239" spans="1:5" ht="19.5" customHeight="1">
      <c r="A1239" s="116" t="s">
        <v>991</v>
      </c>
      <c r="B1239" s="116">
        <f>SUM(B1240:B1242)</f>
        <v>2300</v>
      </c>
      <c r="C1239" s="114">
        <f>SUM(C1240:C1242)</f>
        <v>2880</v>
      </c>
      <c r="D1239" s="176">
        <f t="shared" si="19"/>
        <v>125.21739130434784</v>
      </c>
      <c r="E1239" s="116"/>
    </row>
    <row r="1240" spans="1:5" ht="19.5" customHeight="1">
      <c r="A1240" s="116" t="s">
        <v>992</v>
      </c>
      <c r="B1240" s="116">
        <v>2300</v>
      </c>
      <c r="C1240" s="116">
        <v>2880</v>
      </c>
      <c r="D1240" s="176">
        <f t="shared" si="19"/>
        <v>125.21739130434784</v>
      </c>
      <c r="E1240" s="116"/>
    </row>
    <row r="1241" spans="1:5" ht="19.5" customHeight="1">
      <c r="A1241" s="116" t="s">
        <v>993</v>
      </c>
      <c r="B1241" s="116"/>
      <c r="C1241" s="116"/>
      <c r="D1241" s="176" t="e">
        <f t="shared" si="19"/>
        <v>#DIV/0!</v>
      </c>
      <c r="E1241" s="116"/>
    </row>
    <row r="1242" spans="1:5" ht="19.5" customHeight="1">
      <c r="A1242" s="116" t="s">
        <v>994</v>
      </c>
      <c r="B1242" s="116"/>
      <c r="C1242" s="116"/>
      <c r="D1242" s="176" t="e">
        <f t="shared" si="19"/>
        <v>#DIV/0!</v>
      </c>
      <c r="E1242" s="116"/>
    </row>
    <row r="1243" spans="1:5" ht="19.5" customHeight="1">
      <c r="A1243" s="116" t="s">
        <v>995</v>
      </c>
      <c r="B1243" s="116">
        <f>SUM(B1244:B1246)</f>
        <v>0</v>
      </c>
      <c r="C1243" s="114">
        <f>SUM(C1244:C1246)</f>
        <v>0</v>
      </c>
      <c r="D1243" s="176" t="e">
        <f t="shared" si="19"/>
        <v>#DIV/0!</v>
      </c>
      <c r="E1243" s="116"/>
    </row>
    <row r="1244" spans="1:5" ht="19.5" customHeight="1">
      <c r="A1244" s="116" t="s">
        <v>996</v>
      </c>
      <c r="B1244" s="116"/>
      <c r="C1244" s="116"/>
      <c r="D1244" s="176" t="e">
        <f t="shared" si="19"/>
        <v>#DIV/0!</v>
      </c>
      <c r="E1244" s="116"/>
    </row>
    <row r="1245" spans="1:5" ht="19.5" customHeight="1">
      <c r="A1245" s="116" t="s">
        <v>997</v>
      </c>
      <c r="B1245" s="116"/>
      <c r="C1245" s="116"/>
      <c r="D1245" s="176" t="e">
        <f t="shared" si="19"/>
        <v>#DIV/0!</v>
      </c>
      <c r="E1245" s="116"/>
    </row>
    <row r="1246" spans="1:5" ht="19.5" customHeight="1">
      <c r="A1246" s="116" t="s">
        <v>998</v>
      </c>
      <c r="B1246" s="116"/>
      <c r="C1246" s="116"/>
      <c r="D1246" s="176" t="e">
        <f t="shared" si="19"/>
        <v>#DIV/0!</v>
      </c>
      <c r="E1246" s="116"/>
    </row>
    <row r="1247" spans="1:5" ht="19.5" customHeight="1">
      <c r="A1247" s="116" t="s">
        <v>999</v>
      </c>
      <c r="B1247" s="116">
        <f>SUM(B1248,B1263,B1277,B1282,B1288)</f>
        <v>293</v>
      </c>
      <c r="C1247" s="114">
        <f>C1248+C1263+C1277+C1282+C1288</f>
        <v>198</v>
      </c>
      <c r="D1247" s="176">
        <f t="shared" si="19"/>
        <v>67.57679180887372</v>
      </c>
      <c r="E1247" s="116"/>
    </row>
    <row r="1248" spans="1:5" ht="19.5" customHeight="1">
      <c r="A1248" s="116" t="s">
        <v>1000</v>
      </c>
      <c r="B1248" s="116">
        <f>SUM(B1249:B1262)</f>
        <v>157</v>
      </c>
      <c r="C1248" s="114">
        <f>SUM(C1249:C1262)</f>
        <v>193</v>
      </c>
      <c r="D1248" s="176">
        <f t="shared" si="19"/>
        <v>122.92993630573248</v>
      </c>
      <c r="E1248" s="116"/>
    </row>
    <row r="1249" spans="1:5" ht="19.5" customHeight="1">
      <c r="A1249" s="116" t="s">
        <v>647</v>
      </c>
      <c r="B1249" s="116"/>
      <c r="C1249" s="116"/>
      <c r="D1249" s="176" t="e">
        <f t="shared" si="19"/>
        <v>#DIV/0!</v>
      </c>
      <c r="E1249" s="116"/>
    </row>
    <row r="1250" spans="1:5" ht="19.5" customHeight="1">
      <c r="A1250" s="116" t="s">
        <v>648</v>
      </c>
      <c r="B1250" s="116"/>
      <c r="C1250" s="116"/>
      <c r="D1250" s="176" t="e">
        <f t="shared" si="19"/>
        <v>#DIV/0!</v>
      </c>
      <c r="E1250" s="116"/>
    </row>
    <row r="1251" spans="1:5" ht="19.5" customHeight="1">
      <c r="A1251" s="116" t="s">
        <v>649</v>
      </c>
      <c r="B1251" s="116"/>
      <c r="C1251" s="116"/>
      <c r="D1251" s="176" t="e">
        <f t="shared" si="19"/>
        <v>#DIV/0!</v>
      </c>
      <c r="E1251" s="116"/>
    </row>
    <row r="1252" spans="1:5" ht="19.5" customHeight="1">
      <c r="A1252" s="116" t="s">
        <v>1001</v>
      </c>
      <c r="B1252" s="116"/>
      <c r="C1252" s="116"/>
      <c r="D1252" s="176" t="e">
        <f t="shared" si="19"/>
        <v>#DIV/0!</v>
      </c>
      <c r="E1252" s="116"/>
    </row>
    <row r="1253" spans="1:5" ht="19.5" customHeight="1">
      <c r="A1253" s="116" t="s">
        <v>1002</v>
      </c>
      <c r="B1253" s="116"/>
      <c r="C1253" s="116"/>
      <c r="D1253" s="176" t="e">
        <f t="shared" si="19"/>
        <v>#DIV/0!</v>
      </c>
      <c r="E1253" s="116"/>
    </row>
    <row r="1254" spans="1:5" ht="19.5" customHeight="1">
      <c r="A1254" s="116" t="s">
        <v>1003</v>
      </c>
      <c r="B1254" s="116">
        <v>36</v>
      </c>
      <c r="C1254" s="116"/>
      <c r="D1254" s="176">
        <f t="shared" si="19"/>
        <v>0</v>
      </c>
      <c r="E1254" s="116"/>
    </row>
    <row r="1255" spans="1:5" ht="19.5" customHeight="1">
      <c r="A1255" s="116" t="s">
        <v>1004</v>
      </c>
      <c r="B1255" s="116"/>
      <c r="C1255" s="116"/>
      <c r="D1255" s="176" t="e">
        <f t="shared" si="19"/>
        <v>#DIV/0!</v>
      </c>
      <c r="E1255" s="116"/>
    </row>
    <row r="1256" spans="1:5" ht="19.5" customHeight="1">
      <c r="A1256" s="116" t="s">
        <v>1005</v>
      </c>
      <c r="B1256" s="116"/>
      <c r="C1256" s="116"/>
      <c r="D1256" s="176" t="e">
        <f t="shared" si="19"/>
        <v>#DIV/0!</v>
      </c>
      <c r="E1256" s="116"/>
    </row>
    <row r="1257" spans="1:5" ht="19.5" customHeight="1">
      <c r="A1257" s="116" t="s">
        <v>1006</v>
      </c>
      <c r="B1257" s="116"/>
      <c r="C1257" s="116"/>
      <c r="D1257" s="176" t="e">
        <f t="shared" si="19"/>
        <v>#DIV/0!</v>
      </c>
      <c r="E1257" s="116"/>
    </row>
    <row r="1258" spans="1:5" ht="19.5" customHeight="1">
      <c r="A1258" s="116" t="s">
        <v>1007</v>
      </c>
      <c r="B1258" s="116"/>
      <c r="C1258" s="116"/>
      <c r="D1258" s="176" t="e">
        <f t="shared" si="19"/>
        <v>#DIV/0!</v>
      </c>
      <c r="E1258" s="116"/>
    </row>
    <row r="1259" spans="1:5" ht="19.5" customHeight="1">
      <c r="A1259" s="116" t="s">
        <v>1008</v>
      </c>
      <c r="B1259" s="116"/>
      <c r="C1259" s="116"/>
      <c r="D1259" s="176" t="e">
        <f t="shared" si="19"/>
        <v>#DIV/0!</v>
      </c>
      <c r="E1259" s="116"/>
    </row>
    <row r="1260" spans="1:5" ht="19.5" customHeight="1">
      <c r="A1260" s="116" t="s">
        <v>1009</v>
      </c>
      <c r="B1260" s="116"/>
      <c r="C1260" s="116"/>
      <c r="D1260" s="176" t="e">
        <f t="shared" si="19"/>
        <v>#DIV/0!</v>
      </c>
      <c r="E1260" s="116"/>
    </row>
    <row r="1261" spans="1:5" ht="19.5" customHeight="1">
      <c r="A1261" s="116" t="s">
        <v>667</v>
      </c>
      <c r="B1261" s="116">
        <v>121</v>
      </c>
      <c r="C1261" s="116">
        <f>168</f>
        <v>168</v>
      </c>
      <c r="D1261" s="176">
        <f t="shared" si="19"/>
        <v>138.84297520661158</v>
      </c>
      <c r="E1261" s="116"/>
    </row>
    <row r="1262" spans="1:5" ht="19.5" customHeight="1">
      <c r="A1262" s="116" t="s">
        <v>1010</v>
      </c>
      <c r="B1262" s="116"/>
      <c r="C1262" s="116">
        <f>25</f>
        <v>25</v>
      </c>
      <c r="D1262" s="176" t="e">
        <f t="shared" si="19"/>
        <v>#DIV/0!</v>
      </c>
      <c r="E1262" s="116"/>
    </row>
    <row r="1263" spans="1:5" ht="19.5" customHeight="1">
      <c r="A1263" s="116" t="s">
        <v>1011</v>
      </c>
      <c r="B1263" s="116">
        <f>SUM(B1264:B1276)</f>
        <v>119</v>
      </c>
      <c r="C1263" s="114">
        <f>SUM(C1264:C1276)</f>
        <v>5</v>
      </c>
      <c r="D1263" s="176">
        <f t="shared" si="19"/>
        <v>4.201680672268908</v>
      </c>
      <c r="E1263" s="116"/>
    </row>
    <row r="1264" spans="1:5" ht="19.5" customHeight="1">
      <c r="A1264" s="116" t="s">
        <v>647</v>
      </c>
      <c r="B1264" s="116"/>
      <c r="C1264" s="116"/>
      <c r="D1264" s="176" t="e">
        <f t="shared" si="19"/>
        <v>#DIV/0!</v>
      </c>
      <c r="E1264" s="116"/>
    </row>
    <row r="1265" spans="1:5" ht="19.5" customHeight="1">
      <c r="A1265" s="116" t="s">
        <v>648</v>
      </c>
      <c r="B1265" s="116"/>
      <c r="C1265" s="116"/>
      <c r="D1265" s="176" t="e">
        <f t="shared" si="19"/>
        <v>#DIV/0!</v>
      </c>
      <c r="E1265" s="116"/>
    </row>
    <row r="1266" spans="1:5" ht="19.5" customHeight="1">
      <c r="A1266" s="116" t="s">
        <v>649</v>
      </c>
      <c r="B1266" s="116"/>
      <c r="C1266" s="116"/>
      <c r="D1266" s="176" t="e">
        <f t="shared" si="19"/>
        <v>#DIV/0!</v>
      </c>
      <c r="E1266" s="116"/>
    </row>
    <row r="1267" spans="1:5" ht="19.5" customHeight="1">
      <c r="A1267" s="116" t="s">
        <v>1012</v>
      </c>
      <c r="B1267" s="116"/>
      <c r="C1267" s="116"/>
      <c r="D1267" s="176" t="e">
        <f t="shared" si="19"/>
        <v>#DIV/0!</v>
      </c>
      <c r="E1267" s="116"/>
    </row>
    <row r="1268" spans="1:5" ht="19.5" customHeight="1">
      <c r="A1268" s="116" t="s">
        <v>1013</v>
      </c>
      <c r="B1268" s="116"/>
      <c r="C1268" s="116"/>
      <c r="D1268" s="176" t="e">
        <f t="shared" si="19"/>
        <v>#DIV/0!</v>
      </c>
      <c r="E1268" s="116"/>
    </row>
    <row r="1269" spans="1:5" ht="19.5" customHeight="1">
      <c r="A1269" s="116" t="s">
        <v>1014</v>
      </c>
      <c r="B1269" s="116"/>
      <c r="C1269" s="116"/>
      <c r="D1269" s="176" t="e">
        <f t="shared" si="19"/>
        <v>#DIV/0!</v>
      </c>
      <c r="E1269" s="116"/>
    </row>
    <row r="1270" spans="1:5" ht="19.5" customHeight="1">
      <c r="A1270" s="116" t="s">
        <v>1015</v>
      </c>
      <c r="B1270" s="116"/>
      <c r="C1270" s="116"/>
      <c r="D1270" s="176" t="e">
        <f t="shared" si="19"/>
        <v>#DIV/0!</v>
      </c>
      <c r="E1270" s="116"/>
    </row>
    <row r="1271" spans="1:5" ht="19.5" customHeight="1">
      <c r="A1271" s="116" t="s">
        <v>1016</v>
      </c>
      <c r="B1271" s="116"/>
      <c r="C1271" s="116"/>
      <c r="D1271" s="176" t="e">
        <f t="shared" si="19"/>
        <v>#DIV/0!</v>
      </c>
      <c r="E1271" s="116"/>
    </row>
    <row r="1272" spans="1:5" ht="19.5" customHeight="1">
      <c r="A1272" s="116" t="s">
        <v>1017</v>
      </c>
      <c r="B1272" s="116"/>
      <c r="C1272" s="116"/>
      <c r="D1272" s="176" t="e">
        <f t="shared" si="19"/>
        <v>#DIV/0!</v>
      </c>
      <c r="E1272" s="116"/>
    </row>
    <row r="1273" spans="1:5" ht="19.5" customHeight="1">
      <c r="A1273" s="116" t="s">
        <v>1018</v>
      </c>
      <c r="B1273" s="116">
        <v>119</v>
      </c>
      <c r="C1273" s="116">
        <v>5</v>
      </c>
      <c r="D1273" s="176">
        <f t="shared" si="19"/>
        <v>4.201680672268908</v>
      </c>
      <c r="E1273" s="116"/>
    </row>
    <row r="1274" spans="1:5" ht="19.5" customHeight="1">
      <c r="A1274" s="116" t="s">
        <v>1019</v>
      </c>
      <c r="B1274" s="116"/>
      <c r="C1274" s="116"/>
      <c r="D1274" s="176" t="e">
        <f t="shared" si="19"/>
        <v>#DIV/0!</v>
      </c>
      <c r="E1274" s="116"/>
    </row>
    <row r="1275" spans="1:5" ht="19.5" customHeight="1">
      <c r="A1275" s="116" t="s">
        <v>667</v>
      </c>
      <c r="B1275" s="116"/>
      <c r="C1275" s="116"/>
      <c r="D1275" s="176" t="e">
        <f t="shared" si="19"/>
        <v>#DIV/0!</v>
      </c>
      <c r="E1275" s="116"/>
    </row>
    <row r="1276" spans="1:5" ht="19.5" customHeight="1">
      <c r="A1276" s="116" t="s">
        <v>1020</v>
      </c>
      <c r="B1276" s="116"/>
      <c r="C1276" s="116"/>
      <c r="D1276" s="176" t="e">
        <f t="shared" si="19"/>
        <v>#DIV/0!</v>
      </c>
      <c r="E1276" s="116"/>
    </row>
    <row r="1277" spans="1:5" ht="19.5" customHeight="1">
      <c r="A1277" s="116" t="s">
        <v>1021</v>
      </c>
      <c r="B1277" s="116"/>
      <c r="C1277" s="114">
        <f>SUM(C1278:C1281)</f>
        <v>0</v>
      </c>
      <c r="D1277" s="176" t="e">
        <f t="shared" si="19"/>
        <v>#DIV/0!</v>
      </c>
      <c r="E1277" s="116"/>
    </row>
    <row r="1278" spans="1:5" ht="19.5" customHeight="1">
      <c r="A1278" s="116" t="s">
        <v>1022</v>
      </c>
      <c r="B1278" s="116"/>
      <c r="C1278" s="116"/>
      <c r="D1278" s="176" t="e">
        <f t="shared" si="19"/>
        <v>#DIV/0!</v>
      </c>
      <c r="E1278" s="116"/>
    </row>
    <row r="1279" spans="1:5" ht="19.5" customHeight="1">
      <c r="A1279" s="116" t="s">
        <v>1023</v>
      </c>
      <c r="B1279" s="116"/>
      <c r="C1279" s="116"/>
      <c r="D1279" s="176" t="e">
        <f t="shared" si="19"/>
        <v>#DIV/0!</v>
      </c>
      <c r="E1279" s="116"/>
    </row>
    <row r="1280" spans="1:5" ht="19.5" customHeight="1">
      <c r="A1280" s="116" t="s">
        <v>1024</v>
      </c>
      <c r="B1280" s="116"/>
      <c r="C1280" s="116"/>
      <c r="D1280" s="176" t="e">
        <f t="shared" si="19"/>
        <v>#DIV/0!</v>
      </c>
      <c r="E1280" s="116"/>
    </row>
    <row r="1281" spans="1:5" ht="19.5" customHeight="1">
      <c r="A1281" s="116" t="s">
        <v>1025</v>
      </c>
      <c r="B1281" s="116"/>
      <c r="C1281" s="116"/>
      <c r="D1281" s="176" t="e">
        <f t="shared" si="19"/>
        <v>#DIV/0!</v>
      </c>
      <c r="E1281" s="116"/>
    </row>
    <row r="1282" spans="1:5" ht="19.5" customHeight="1">
      <c r="A1282" s="116" t="s">
        <v>1026</v>
      </c>
      <c r="B1282" s="116">
        <f>SUM(B1283:B1287)</f>
        <v>17</v>
      </c>
      <c r="C1282" s="114">
        <f>SUM(C1283:C1287)</f>
        <v>0</v>
      </c>
      <c r="D1282" s="176">
        <f t="shared" si="19"/>
        <v>0</v>
      </c>
      <c r="E1282" s="116"/>
    </row>
    <row r="1283" spans="1:5" ht="19.5" customHeight="1">
      <c r="A1283" s="116" t="s">
        <v>1027</v>
      </c>
      <c r="B1283" s="116"/>
      <c r="C1283" s="116"/>
      <c r="D1283" s="176" t="e">
        <f t="shared" si="19"/>
        <v>#DIV/0!</v>
      </c>
      <c r="E1283" s="116"/>
    </row>
    <row r="1284" spans="1:5" ht="19.5" customHeight="1">
      <c r="A1284" s="116" t="s">
        <v>1028</v>
      </c>
      <c r="B1284" s="116"/>
      <c r="C1284" s="116"/>
      <c r="D1284" s="176" t="e">
        <f t="shared" si="19"/>
        <v>#DIV/0!</v>
      </c>
      <c r="E1284" s="116"/>
    </row>
    <row r="1285" spans="1:5" ht="19.5" customHeight="1">
      <c r="A1285" s="116" t="s">
        <v>1029</v>
      </c>
      <c r="B1285" s="116"/>
      <c r="C1285" s="116"/>
      <c r="D1285" s="176" t="e">
        <f aca="true" t="shared" si="20" ref="D1285:D1314">C1285/B1285*100</f>
        <v>#DIV/0!</v>
      </c>
      <c r="E1285" s="116"/>
    </row>
    <row r="1286" spans="1:5" ht="19.5" customHeight="1">
      <c r="A1286" s="116" t="s">
        <v>1030</v>
      </c>
      <c r="B1286" s="116"/>
      <c r="C1286" s="116"/>
      <c r="D1286" s="176" t="e">
        <f t="shared" si="20"/>
        <v>#DIV/0!</v>
      </c>
      <c r="E1286" s="116"/>
    </row>
    <row r="1287" spans="1:5" ht="19.5" customHeight="1">
      <c r="A1287" s="116" t="s">
        <v>1031</v>
      </c>
      <c r="B1287" s="116">
        <v>17</v>
      </c>
      <c r="C1287" s="116"/>
      <c r="D1287" s="176">
        <f t="shared" si="20"/>
        <v>0</v>
      </c>
      <c r="E1287" s="116"/>
    </row>
    <row r="1288" spans="1:5" ht="19.5" customHeight="1">
      <c r="A1288" s="116" t="s">
        <v>1032</v>
      </c>
      <c r="B1288" s="116">
        <f>SUM(B1289:B1299)</f>
        <v>0</v>
      </c>
      <c r="C1288" s="114">
        <f>SUM(C1289:C1299)</f>
        <v>0</v>
      </c>
      <c r="D1288" s="176" t="e">
        <f t="shared" si="20"/>
        <v>#DIV/0!</v>
      </c>
      <c r="E1288" s="116"/>
    </row>
    <row r="1289" spans="1:5" ht="19.5" customHeight="1">
      <c r="A1289" s="116" t="s">
        <v>1033</v>
      </c>
      <c r="B1289" s="116"/>
      <c r="C1289" s="116"/>
      <c r="D1289" s="176" t="e">
        <f t="shared" si="20"/>
        <v>#DIV/0!</v>
      </c>
      <c r="E1289" s="116"/>
    </row>
    <row r="1290" spans="1:5" ht="19.5" customHeight="1">
      <c r="A1290" s="116" t="s">
        <v>1034</v>
      </c>
      <c r="B1290" s="116"/>
      <c r="C1290" s="116"/>
      <c r="D1290" s="176" t="e">
        <f t="shared" si="20"/>
        <v>#DIV/0!</v>
      </c>
      <c r="E1290" s="116"/>
    </row>
    <row r="1291" spans="1:5" ht="19.5" customHeight="1">
      <c r="A1291" s="116" t="s">
        <v>1035</v>
      </c>
      <c r="B1291" s="116"/>
      <c r="C1291" s="116"/>
      <c r="D1291" s="176" t="e">
        <f t="shared" si="20"/>
        <v>#DIV/0!</v>
      </c>
      <c r="E1291" s="116"/>
    </row>
    <row r="1292" spans="1:5" ht="19.5" customHeight="1">
      <c r="A1292" s="116" t="s">
        <v>1036</v>
      </c>
      <c r="B1292" s="116"/>
      <c r="C1292" s="116"/>
      <c r="D1292" s="176" t="e">
        <f t="shared" si="20"/>
        <v>#DIV/0!</v>
      </c>
      <c r="E1292" s="116"/>
    </row>
    <row r="1293" spans="1:5" ht="19.5" customHeight="1">
      <c r="A1293" s="116" t="s">
        <v>1037</v>
      </c>
      <c r="B1293" s="116"/>
      <c r="C1293" s="116"/>
      <c r="D1293" s="176" t="e">
        <f t="shared" si="20"/>
        <v>#DIV/0!</v>
      </c>
      <c r="E1293" s="116"/>
    </row>
    <row r="1294" spans="1:5" ht="19.5" customHeight="1">
      <c r="A1294" s="116" t="s">
        <v>1038</v>
      </c>
      <c r="B1294" s="116"/>
      <c r="C1294" s="116"/>
      <c r="D1294" s="176" t="e">
        <f t="shared" si="20"/>
        <v>#DIV/0!</v>
      </c>
      <c r="E1294" s="116"/>
    </row>
    <row r="1295" spans="1:5" ht="19.5" customHeight="1">
      <c r="A1295" s="116" t="s">
        <v>1039</v>
      </c>
      <c r="B1295" s="116"/>
      <c r="C1295" s="116"/>
      <c r="D1295" s="176" t="e">
        <f t="shared" si="20"/>
        <v>#DIV/0!</v>
      </c>
      <c r="E1295" s="116"/>
    </row>
    <row r="1296" spans="1:5" ht="19.5" customHeight="1">
      <c r="A1296" s="116" t="s">
        <v>1040</v>
      </c>
      <c r="B1296" s="116"/>
      <c r="C1296" s="116"/>
      <c r="D1296" s="176" t="e">
        <f t="shared" si="20"/>
        <v>#DIV/0!</v>
      </c>
      <c r="E1296" s="116"/>
    </row>
    <row r="1297" spans="1:5" ht="19.5" customHeight="1">
      <c r="A1297" s="116" t="s">
        <v>1041</v>
      </c>
      <c r="B1297" s="116"/>
      <c r="C1297" s="116"/>
      <c r="D1297" s="176" t="e">
        <f t="shared" si="20"/>
        <v>#DIV/0!</v>
      </c>
      <c r="E1297" s="116"/>
    </row>
    <row r="1298" spans="1:5" ht="19.5" customHeight="1">
      <c r="A1298" s="116" t="s">
        <v>1042</v>
      </c>
      <c r="B1298" s="116"/>
      <c r="C1298" s="116"/>
      <c r="D1298" s="176" t="e">
        <f t="shared" si="20"/>
        <v>#DIV/0!</v>
      </c>
      <c r="E1298" s="116"/>
    </row>
    <row r="1299" spans="1:5" ht="19.5" customHeight="1">
      <c r="A1299" s="116" t="s">
        <v>1043</v>
      </c>
      <c r="B1299" s="116"/>
      <c r="C1299" s="116"/>
      <c r="D1299" s="176" t="e">
        <f t="shared" si="20"/>
        <v>#DIV/0!</v>
      </c>
      <c r="E1299" s="116"/>
    </row>
    <row r="1300" spans="1:5" ht="19.5" customHeight="1">
      <c r="A1300" s="116" t="s">
        <v>1044</v>
      </c>
      <c r="B1300" s="116"/>
      <c r="C1300" s="116">
        <v>900</v>
      </c>
      <c r="D1300" s="176" t="e">
        <f t="shared" si="20"/>
        <v>#DIV/0!</v>
      </c>
      <c r="E1300" s="116"/>
    </row>
    <row r="1301" spans="1:5" ht="19.5" customHeight="1">
      <c r="A1301" s="116" t="s">
        <v>1045</v>
      </c>
      <c r="B1301" s="116">
        <f>SUM(B1302)</f>
        <v>298</v>
      </c>
      <c r="C1301" s="114">
        <f>C1302</f>
        <v>654</v>
      </c>
      <c r="D1301" s="176">
        <f t="shared" si="20"/>
        <v>219.46308724832213</v>
      </c>
      <c r="E1301" s="116"/>
    </row>
    <row r="1302" spans="1:5" ht="19.5" customHeight="1">
      <c r="A1302" s="116" t="s">
        <v>1046</v>
      </c>
      <c r="B1302" s="116">
        <f>SUM(B1303:B1306)</f>
        <v>298</v>
      </c>
      <c r="C1302" s="114">
        <f>SUM(C1303:C1306)</f>
        <v>654</v>
      </c>
      <c r="D1302" s="176">
        <f t="shared" si="20"/>
        <v>219.46308724832213</v>
      </c>
      <c r="E1302" s="116"/>
    </row>
    <row r="1303" spans="1:5" ht="19.5" customHeight="1">
      <c r="A1303" s="116" t="s">
        <v>1047</v>
      </c>
      <c r="B1303" s="116">
        <v>298</v>
      </c>
      <c r="C1303" s="116">
        <v>654</v>
      </c>
      <c r="D1303" s="176">
        <f t="shared" si="20"/>
        <v>219.46308724832213</v>
      </c>
      <c r="E1303" s="116"/>
    </row>
    <row r="1304" spans="1:5" ht="19.5" customHeight="1">
      <c r="A1304" s="116" t="s">
        <v>1048</v>
      </c>
      <c r="B1304" s="116"/>
      <c r="C1304" s="116"/>
      <c r="D1304" s="176" t="e">
        <f t="shared" si="20"/>
        <v>#DIV/0!</v>
      </c>
      <c r="E1304" s="116"/>
    </row>
    <row r="1305" spans="1:5" ht="19.5" customHeight="1">
      <c r="A1305" s="116" t="s">
        <v>1049</v>
      </c>
      <c r="B1305" s="116"/>
      <c r="C1305" s="116"/>
      <c r="D1305" s="176" t="e">
        <f t="shared" si="20"/>
        <v>#DIV/0!</v>
      </c>
      <c r="E1305" s="116"/>
    </row>
    <row r="1306" spans="1:5" ht="19.5" customHeight="1">
      <c r="A1306" s="116" t="s">
        <v>1050</v>
      </c>
      <c r="B1306" s="116"/>
      <c r="C1306" s="116"/>
      <c r="D1306" s="176" t="e">
        <f t="shared" si="20"/>
        <v>#DIV/0!</v>
      </c>
      <c r="E1306" s="116"/>
    </row>
    <row r="1307" spans="1:5" s="172" customFormat="1" ht="19.5" customHeight="1">
      <c r="A1307" s="116" t="s">
        <v>1051</v>
      </c>
      <c r="B1307" s="181">
        <f>SUM(B1308)</f>
        <v>0</v>
      </c>
      <c r="C1307" s="182">
        <f>C1308</f>
        <v>0</v>
      </c>
      <c r="D1307" s="176" t="e">
        <f t="shared" si="20"/>
        <v>#DIV/0!</v>
      </c>
      <c r="E1307" s="181"/>
    </row>
    <row r="1308" spans="1:5" s="172" customFormat="1" ht="19.5" customHeight="1">
      <c r="A1308" s="116" t="s">
        <v>1052</v>
      </c>
      <c r="B1308" s="181"/>
      <c r="C1308" s="181"/>
      <c r="D1308" s="176" t="e">
        <f t="shared" si="20"/>
        <v>#DIV/0!</v>
      </c>
      <c r="E1308" s="181"/>
    </row>
    <row r="1309" spans="1:5" ht="19.5" customHeight="1">
      <c r="A1309" s="116" t="s">
        <v>1053</v>
      </c>
      <c r="B1309" s="116">
        <f>SUM(B1310:B1311)</f>
        <v>0</v>
      </c>
      <c r="C1309" s="114">
        <f>C1310+C1311</f>
        <v>751</v>
      </c>
      <c r="D1309" s="176" t="e">
        <f t="shared" si="20"/>
        <v>#DIV/0!</v>
      </c>
      <c r="E1309" s="116"/>
    </row>
    <row r="1310" spans="1:5" ht="19.5" customHeight="1">
      <c r="A1310" s="116" t="s">
        <v>1054</v>
      </c>
      <c r="B1310" s="116"/>
      <c r="C1310" s="116">
        <v>751</v>
      </c>
      <c r="D1310" s="176" t="e">
        <f t="shared" si="20"/>
        <v>#DIV/0!</v>
      </c>
      <c r="E1310" s="116"/>
    </row>
    <row r="1311" spans="1:5" ht="19.5" customHeight="1">
      <c r="A1311" s="116" t="s">
        <v>1055</v>
      </c>
      <c r="B1311" s="116"/>
      <c r="C1311" s="116"/>
      <c r="D1311" s="176" t="e">
        <f t="shared" si="20"/>
        <v>#DIV/0!</v>
      </c>
      <c r="E1311" s="116"/>
    </row>
    <row r="1312" spans="1:5" ht="19.5" customHeight="1">
      <c r="A1312" s="116"/>
      <c r="B1312" s="116"/>
      <c r="C1312" s="116"/>
      <c r="D1312" s="176" t="e">
        <f t="shared" si="20"/>
        <v>#DIV/0!</v>
      </c>
      <c r="E1312" s="116"/>
    </row>
    <row r="1313" spans="1:5" ht="19.5" customHeight="1">
      <c r="A1313" s="116"/>
      <c r="B1313" s="116"/>
      <c r="C1313" s="116"/>
      <c r="D1313" s="176" t="e">
        <f t="shared" si="20"/>
        <v>#DIV/0!</v>
      </c>
      <c r="E1313" s="116"/>
    </row>
    <row r="1314" spans="1:5" ht="19.5" customHeight="1">
      <c r="A1314" s="118" t="s">
        <v>1056</v>
      </c>
      <c r="B1314" s="116">
        <f>SUM(B5,B258,B261,B272,B391,B445,B501,B550,B666,B737,B809,B829,B960,B1024,B1098,B1125,B1140,B1150,B1229,B1247,B1300,B1301,B1307,B1309)</f>
        <v>123926</v>
      </c>
      <c r="C1314" s="175">
        <f>C5+C258+C261+C272+C391+C445+C501+C550+C666+C737+C809+C829+C960+C1024+C1098+C1125+C1140+C1150+C1229+C1247+C1300+C1301+C1307+C1309</f>
        <v>103018</v>
      </c>
      <c r="D1314" s="176">
        <f t="shared" si="20"/>
        <v>83.1286412859287</v>
      </c>
      <c r="E1314" s="116"/>
    </row>
    <row r="1315" ht="19.5" customHeight="1"/>
    <row r="1316" ht="19.5" customHeight="1"/>
    <row r="1317" ht="19.5" customHeight="1"/>
    <row r="1318" ht="19.5" customHeight="1"/>
    <row r="1319" ht="19.5" customHeight="1"/>
  </sheetData>
  <sheetProtection/>
  <mergeCells count="1">
    <mergeCell ref="A2:E2"/>
  </mergeCells>
  <printOptions horizontalCentered="1"/>
  <pageMargins left="0.31" right="0.31" top="0.35" bottom="0.35" header="0.31" footer="0.3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showGridLines="0" showZeros="0" zoomScale="93" zoomScaleNormal="93" workbookViewId="0" topLeftCell="A1">
      <pane ySplit="5" topLeftCell="A6" activePane="bottomLeft" state="frozen"/>
      <selection pane="bottomLeft" activeCell="A2" sqref="A2:F2"/>
    </sheetView>
  </sheetViews>
  <sheetFormatPr defaultColWidth="12" defaultRowHeight="11.25"/>
  <cols>
    <col min="1" max="1" width="58.16015625" style="79" customWidth="1"/>
    <col min="2" max="2" width="27.33203125" style="79" customWidth="1"/>
    <col min="3" max="3" width="22.16015625" style="79" customWidth="1"/>
    <col min="4" max="4" width="58.16015625" style="79" customWidth="1"/>
    <col min="5" max="5" width="26" style="79" customWidth="1"/>
    <col min="6" max="6" width="22.16015625" style="79" customWidth="1"/>
    <col min="7" max="16384" width="12" style="79" customWidth="1"/>
  </cols>
  <sheetData>
    <row r="1" spans="1:4" ht="18" customHeight="1">
      <c r="A1" s="126" t="s">
        <v>1057</v>
      </c>
      <c r="B1" s="126"/>
      <c r="D1" s="126"/>
    </row>
    <row r="2" spans="1:6" s="126" customFormat="1" ht="20.25">
      <c r="A2" s="103" t="s">
        <v>1058</v>
      </c>
      <c r="B2" s="103"/>
      <c r="C2" s="103"/>
      <c r="D2" s="103"/>
      <c r="E2" s="103"/>
      <c r="F2" s="103"/>
    </row>
    <row r="3" spans="1:6" ht="20.25" customHeight="1">
      <c r="A3" s="126"/>
      <c r="B3" s="126"/>
      <c r="F3" s="162" t="s">
        <v>1</v>
      </c>
    </row>
    <row r="4" spans="1:6" ht="31.5" customHeight="1">
      <c r="A4" s="163" t="s">
        <v>1059</v>
      </c>
      <c r="B4" s="164"/>
      <c r="C4" s="158"/>
      <c r="D4" s="163" t="s">
        <v>1060</v>
      </c>
      <c r="E4" s="164"/>
      <c r="F4" s="158"/>
    </row>
    <row r="5" spans="1:6" ht="21.75" customHeight="1">
      <c r="A5" s="146" t="s">
        <v>2</v>
      </c>
      <c r="B5" s="122" t="s">
        <v>3</v>
      </c>
      <c r="C5" s="146" t="s">
        <v>4</v>
      </c>
      <c r="D5" s="146" t="s">
        <v>35</v>
      </c>
      <c r="E5" s="122" t="s">
        <v>3</v>
      </c>
      <c r="F5" s="146" t="s">
        <v>4</v>
      </c>
    </row>
    <row r="6" spans="1:6" ht="19.5" customHeight="1">
      <c r="A6" s="165" t="s">
        <v>1061</v>
      </c>
      <c r="B6" s="166">
        <v>7361</v>
      </c>
      <c r="C6" s="116">
        <v>7361</v>
      </c>
      <c r="D6" s="165" t="s">
        <v>1062</v>
      </c>
      <c r="E6" s="165"/>
      <c r="F6" s="116">
        <v>103018</v>
      </c>
    </row>
    <row r="7" spans="1:6" ht="19.5" customHeight="1">
      <c r="A7" s="167" t="s">
        <v>1063</v>
      </c>
      <c r="B7" s="167">
        <f>SUM(B8,B60,B61,B67)</f>
        <v>142853</v>
      </c>
      <c r="C7" s="114">
        <f>SUM(C8,C60,C61,C66,C67,C68)</f>
        <v>97663</v>
      </c>
      <c r="D7" s="167" t="s">
        <v>1064</v>
      </c>
      <c r="E7" s="167"/>
      <c r="F7" s="114">
        <f>SUM(F8,F60,F64,F65,F66,F67)</f>
        <v>2006</v>
      </c>
    </row>
    <row r="8" spans="1:6" ht="19.5" customHeight="1">
      <c r="A8" s="168" t="s">
        <v>1065</v>
      </c>
      <c r="B8" s="169">
        <f>SUM(B9,B37,B16)</f>
        <v>115971</v>
      </c>
      <c r="C8" s="169">
        <f>SUM(C9,C37,C16)</f>
        <v>80896</v>
      </c>
      <c r="D8" s="168" t="s">
        <v>1066</v>
      </c>
      <c r="E8" s="168"/>
      <c r="F8" s="114">
        <f>SUM(F9:F10)</f>
        <v>6</v>
      </c>
    </row>
    <row r="9" spans="1:6" ht="19.5" customHeight="1">
      <c r="A9" s="168" t="s">
        <v>1067</v>
      </c>
      <c r="B9" s="169">
        <f>SUM(B10:B15)</f>
        <v>1002</v>
      </c>
      <c r="C9" s="114">
        <f>SUM(C10:C15)</f>
        <v>2135</v>
      </c>
      <c r="D9" s="168" t="s">
        <v>1068</v>
      </c>
      <c r="E9" s="168"/>
      <c r="F9" s="116"/>
    </row>
    <row r="10" spans="1:6" ht="19.5" customHeight="1">
      <c r="A10" s="138" t="s">
        <v>1069</v>
      </c>
      <c r="B10" s="138">
        <v>62</v>
      </c>
      <c r="C10" s="116">
        <v>62</v>
      </c>
      <c r="D10" s="168" t="s">
        <v>1070</v>
      </c>
      <c r="E10" s="168"/>
      <c r="F10" s="116">
        <v>6</v>
      </c>
    </row>
    <row r="11" spans="1:6" ht="19.5" customHeight="1">
      <c r="A11" s="138" t="s">
        <v>1071</v>
      </c>
      <c r="B11" s="138">
        <v>162</v>
      </c>
      <c r="C11" s="116">
        <v>162</v>
      </c>
      <c r="D11" s="168"/>
      <c r="E11" s="168"/>
      <c r="F11" s="116"/>
    </row>
    <row r="12" spans="1:6" ht="19.5" customHeight="1">
      <c r="A12" s="138" t="s">
        <v>1072</v>
      </c>
      <c r="B12" s="138">
        <f>357+417</f>
        <v>774</v>
      </c>
      <c r="C12" s="116">
        <f>357</f>
        <v>357</v>
      </c>
      <c r="D12" s="168" t="s">
        <v>32</v>
      </c>
      <c r="E12" s="168"/>
      <c r="F12" s="116"/>
    </row>
    <row r="13" spans="1:6" ht="19.5" customHeight="1">
      <c r="A13" s="138" t="s">
        <v>1073</v>
      </c>
      <c r="B13" s="138">
        <v>4</v>
      </c>
      <c r="C13" s="116">
        <v>4</v>
      </c>
      <c r="D13" s="168" t="s">
        <v>32</v>
      </c>
      <c r="E13" s="168"/>
      <c r="F13" s="116"/>
    </row>
    <row r="14" spans="1:6" ht="19.5" customHeight="1">
      <c r="A14" s="138" t="s">
        <v>1074</v>
      </c>
      <c r="B14" s="138"/>
      <c r="C14" s="116">
        <v>1550</v>
      </c>
      <c r="D14" s="168" t="s">
        <v>32</v>
      </c>
      <c r="E14" s="168"/>
      <c r="F14" s="116"/>
    </row>
    <row r="15" spans="1:6" ht="19.5" customHeight="1">
      <c r="A15" s="138" t="s">
        <v>1075</v>
      </c>
      <c r="B15" s="138"/>
      <c r="C15" s="116"/>
      <c r="D15" s="168" t="s">
        <v>32</v>
      </c>
      <c r="E15" s="168"/>
      <c r="F15" s="116"/>
    </row>
    <row r="16" spans="1:6" ht="19.5" customHeight="1">
      <c r="A16" s="138" t="s">
        <v>1076</v>
      </c>
      <c r="B16" s="138">
        <f>SUM(B17:B36)</f>
        <v>71016</v>
      </c>
      <c r="C16" s="114">
        <f>SUM(C17:C36)</f>
        <v>66423</v>
      </c>
      <c r="D16" s="168" t="s">
        <v>32</v>
      </c>
      <c r="E16" s="168"/>
      <c r="F16" s="116"/>
    </row>
    <row r="17" spans="1:6" ht="19.5" customHeight="1">
      <c r="A17" s="138" t="s">
        <v>1077</v>
      </c>
      <c r="B17" s="170">
        <v>1152</v>
      </c>
      <c r="C17" s="116">
        <v>1152</v>
      </c>
      <c r="D17" s="168" t="s">
        <v>32</v>
      </c>
      <c r="E17" s="168"/>
      <c r="F17" s="116"/>
    </row>
    <row r="18" spans="1:6" ht="19.5" customHeight="1">
      <c r="A18" s="171" t="s">
        <v>1078</v>
      </c>
      <c r="B18" s="170">
        <v>37696</v>
      </c>
      <c r="C18" s="116">
        <v>36639</v>
      </c>
      <c r="D18" s="168" t="s">
        <v>32</v>
      </c>
      <c r="E18" s="168"/>
      <c r="F18" s="116"/>
    </row>
    <row r="19" spans="1:6" ht="19.5" customHeight="1">
      <c r="A19" s="113" t="s">
        <v>1079</v>
      </c>
      <c r="B19" s="170">
        <v>2998</v>
      </c>
      <c r="C19" s="116">
        <v>2923</v>
      </c>
      <c r="D19" s="168" t="s">
        <v>32</v>
      </c>
      <c r="E19" s="168"/>
      <c r="F19" s="116"/>
    </row>
    <row r="20" spans="1:6" ht="19.5" customHeight="1">
      <c r="A20" s="113" t="s">
        <v>1080</v>
      </c>
      <c r="B20" s="170">
        <v>1930</v>
      </c>
      <c r="C20" s="116">
        <f>728+682</f>
        <v>1410</v>
      </c>
      <c r="D20" s="168" t="s">
        <v>32</v>
      </c>
      <c r="E20" s="168"/>
      <c r="F20" s="116"/>
    </row>
    <row r="21" spans="1:6" ht="19.5" customHeight="1">
      <c r="A21" s="113" t="s">
        <v>1081</v>
      </c>
      <c r="B21" s="170"/>
      <c r="C21" s="116"/>
      <c r="D21" s="168" t="s">
        <v>32</v>
      </c>
      <c r="E21" s="168"/>
      <c r="F21" s="116"/>
    </row>
    <row r="22" spans="1:6" ht="19.5" customHeight="1">
      <c r="A22" s="113" t="s">
        <v>1082</v>
      </c>
      <c r="B22" s="113"/>
      <c r="C22" s="116"/>
      <c r="D22" s="168" t="s">
        <v>32</v>
      </c>
      <c r="E22" s="168"/>
      <c r="F22" s="116"/>
    </row>
    <row r="23" spans="1:6" ht="19.5" customHeight="1">
      <c r="A23" s="113" t="s">
        <v>1083</v>
      </c>
      <c r="B23" s="113">
        <v>94</v>
      </c>
      <c r="C23" s="116">
        <v>20</v>
      </c>
      <c r="D23" s="168" t="s">
        <v>32</v>
      </c>
      <c r="E23" s="168"/>
      <c r="F23" s="116"/>
    </row>
    <row r="24" spans="1:6" ht="19.5" customHeight="1">
      <c r="A24" s="113" t="s">
        <v>1084</v>
      </c>
      <c r="B24" s="113">
        <v>1192</v>
      </c>
      <c r="C24" s="116">
        <v>962</v>
      </c>
      <c r="D24" s="168" t="s">
        <v>32</v>
      </c>
      <c r="E24" s="168"/>
      <c r="F24" s="116"/>
    </row>
    <row r="25" spans="1:6" ht="19.5" customHeight="1">
      <c r="A25" s="113" t="s">
        <v>1085</v>
      </c>
      <c r="B25" s="113">
        <v>2586</v>
      </c>
      <c r="C25" s="116">
        <v>1898</v>
      </c>
      <c r="D25" s="168" t="s">
        <v>32</v>
      </c>
      <c r="E25" s="168"/>
      <c r="F25" s="116"/>
    </row>
    <row r="26" spans="1:6" ht="19.5" customHeight="1">
      <c r="A26" s="113" t="s">
        <v>1086</v>
      </c>
      <c r="B26" s="113">
        <v>1337</v>
      </c>
      <c r="C26" s="116">
        <v>1326</v>
      </c>
      <c r="D26" s="168" t="s">
        <v>32</v>
      </c>
      <c r="E26" s="168"/>
      <c r="F26" s="116"/>
    </row>
    <row r="27" spans="1:6" ht="19.5" customHeight="1">
      <c r="A27" s="171" t="s">
        <v>1087</v>
      </c>
      <c r="B27" s="171">
        <v>2667</v>
      </c>
      <c r="C27" s="116">
        <v>2487</v>
      </c>
      <c r="D27" s="168" t="s">
        <v>32</v>
      </c>
      <c r="E27" s="168"/>
      <c r="F27" s="116"/>
    </row>
    <row r="28" spans="1:6" ht="19.5" customHeight="1">
      <c r="A28" s="113" t="s">
        <v>1088</v>
      </c>
      <c r="B28" s="113">
        <v>1017</v>
      </c>
      <c r="C28" s="116">
        <v>568</v>
      </c>
      <c r="D28" s="113" t="s">
        <v>32</v>
      </c>
      <c r="E28" s="113"/>
      <c r="F28" s="116"/>
    </row>
    <row r="29" spans="1:6" ht="19.5" customHeight="1">
      <c r="A29" s="113" t="s">
        <v>1089</v>
      </c>
      <c r="B29" s="113">
        <v>155</v>
      </c>
      <c r="C29" s="116"/>
      <c r="D29" s="113" t="s">
        <v>32</v>
      </c>
      <c r="E29" s="113"/>
      <c r="F29" s="116"/>
    </row>
    <row r="30" spans="1:6" ht="19.5" customHeight="1">
      <c r="A30" s="113" t="s">
        <v>1090</v>
      </c>
      <c r="B30" s="113">
        <v>5663</v>
      </c>
      <c r="C30" s="116">
        <v>5096</v>
      </c>
      <c r="D30" s="113" t="s">
        <v>32</v>
      </c>
      <c r="E30" s="113"/>
      <c r="F30" s="116"/>
    </row>
    <row r="31" spans="1:6" ht="19.5" customHeight="1">
      <c r="A31" s="113" t="s">
        <v>1091</v>
      </c>
      <c r="B31" s="113">
        <v>7260</v>
      </c>
      <c r="C31" s="116">
        <v>6917</v>
      </c>
      <c r="D31" s="171" t="s">
        <v>32</v>
      </c>
      <c r="E31" s="171"/>
      <c r="F31" s="116"/>
    </row>
    <row r="32" spans="1:6" ht="19.5" customHeight="1">
      <c r="A32" s="113" t="s">
        <v>1092</v>
      </c>
      <c r="B32" s="113">
        <v>766</v>
      </c>
      <c r="C32" s="116">
        <v>840</v>
      </c>
      <c r="D32" s="113" t="s">
        <v>32</v>
      </c>
      <c r="E32" s="113"/>
      <c r="F32" s="116"/>
    </row>
    <row r="33" spans="1:6" ht="19.5" customHeight="1">
      <c r="A33" s="113" t="s">
        <v>1093</v>
      </c>
      <c r="B33" s="113"/>
      <c r="C33" s="116"/>
      <c r="D33" s="113" t="s">
        <v>32</v>
      </c>
      <c r="E33" s="113"/>
      <c r="F33" s="116"/>
    </row>
    <row r="34" spans="1:6" ht="19.5" customHeight="1">
      <c r="A34" s="113" t="s">
        <v>1094</v>
      </c>
      <c r="B34" s="113"/>
      <c r="C34" s="116"/>
      <c r="D34" s="113" t="s">
        <v>32</v>
      </c>
      <c r="E34" s="113"/>
      <c r="F34" s="116"/>
    </row>
    <row r="35" spans="1:6" ht="19.5" customHeight="1">
      <c r="A35" s="113" t="s">
        <v>1095</v>
      </c>
      <c r="B35" s="113">
        <f>4969-766</f>
        <v>4203</v>
      </c>
      <c r="C35" s="116">
        <v>3849</v>
      </c>
      <c r="D35" s="113" t="s">
        <v>32</v>
      </c>
      <c r="E35" s="113"/>
      <c r="F35" s="116"/>
    </row>
    <row r="36" spans="1:6" ht="19.5" customHeight="1">
      <c r="A36" s="113" t="s">
        <v>1096</v>
      </c>
      <c r="B36" s="113">
        <v>300</v>
      </c>
      <c r="C36" s="116">
        <f>36+300</f>
        <v>336</v>
      </c>
      <c r="D36" s="113" t="s">
        <v>32</v>
      </c>
      <c r="E36" s="113"/>
      <c r="F36" s="116"/>
    </row>
    <row r="37" spans="1:6" ht="19.5" customHeight="1">
      <c r="A37" s="113" t="s">
        <v>1097</v>
      </c>
      <c r="B37" s="113">
        <f>SUM(B38:B57)</f>
        <v>43953</v>
      </c>
      <c r="C37" s="114">
        <f>SUM(C38:C57)</f>
        <v>12338</v>
      </c>
      <c r="D37" s="113" t="s">
        <v>32</v>
      </c>
      <c r="E37" s="113"/>
      <c r="F37" s="116"/>
    </row>
    <row r="38" spans="1:6" ht="19.5" customHeight="1">
      <c r="A38" s="113" t="s">
        <v>912</v>
      </c>
      <c r="B38" s="113">
        <v>203</v>
      </c>
      <c r="C38" s="116">
        <v>128</v>
      </c>
      <c r="D38" s="113" t="s">
        <v>32</v>
      </c>
      <c r="E38" s="113"/>
      <c r="F38" s="116"/>
    </row>
    <row r="39" spans="1:6" ht="19.5" customHeight="1">
      <c r="A39" s="113" t="s">
        <v>1098</v>
      </c>
      <c r="B39" s="113"/>
      <c r="C39" s="116"/>
      <c r="D39" s="113" t="s">
        <v>32</v>
      </c>
      <c r="E39" s="113"/>
      <c r="F39" s="116"/>
    </row>
    <row r="40" spans="1:6" ht="19.5" customHeight="1">
      <c r="A40" s="113" t="s">
        <v>1099</v>
      </c>
      <c r="B40" s="113"/>
      <c r="C40" s="116"/>
      <c r="D40" s="168" t="s">
        <v>32</v>
      </c>
      <c r="E40" s="168"/>
      <c r="F40" s="116"/>
    </row>
    <row r="41" spans="1:6" ht="19.5" customHeight="1">
      <c r="A41" s="113" t="s">
        <v>1100</v>
      </c>
      <c r="B41" s="113">
        <v>133</v>
      </c>
      <c r="C41" s="116">
        <v>5</v>
      </c>
      <c r="D41" s="168" t="s">
        <v>32</v>
      </c>
      <c r="E41" s="168"/>
      <c r="F41" s="116"/>
    </row>
    <row r="42" spans="1:6" ht="19.5" customHeight="1">
      <c r="A42" s="113" t="s">
        <v>913</v>
      </c>
      <c r="B42" s="113">
        <v>8401</v>
      </c>
      <c r="C42" s="116">
        <v>1708</v>
      </c>
      <c r="D42" s="168" t="s">
        <v>32</v>
      </c>
      <c r="E42" s="168"/>
      <c r="F42" s="116"/>
    </row>
    <row r="43" spans="1:6" ht="19.5" customHeight="1">
      <c r="A43" s="113" t="s">
        <v>1101</v>
      </c>
      <c r="B43" s="113">
        <v>17</v>
      </c>
      <c r="C43" s="116"/>
      <c r="D43" s="168" t="s">
        <v>32</v>
      </c>
      <c r="E43" s="168"/>
      <c r="F43" s="116"/>
    </row>
    <row r="44" spans="1:6" ht="19.5" customHeight="1">
      <c r="A44" s="113" t="s">
        <v>914</v>
      </c>
      <c r="B44" s="113">
        <v>851</v>
      </c>
      <c r="C44" s="116">
        <v>166</v>
      </c>
      <c r="D44" s="168" t="s">
        <v>32</v>
      </c>
      <c r="E44" s="168"/>
      <c r="F44" s="116"/>
    </row>
    <row r="45" spans="1:6" ht="19.5" customHeight="1">
      <c r="A45" s="113" t="s">
        <v>1102</v>
      </c>
      <c r="B45" s="113">
        <v>5400</v>
      </c>
      <c r="C45" s="116">
        <v>3441</v>
      </c>
      <c r="D45" s="168" t="s">
        <v>32</v>
      </c>
      <c r="E45" s="168"/>
      <c r="F45" s="116"/>
    </row>
    <row r="46" spans="1:6" ht="19.5" customHeight="1">
      <c r="A46" s="113" t="s">
        <v>1103</v>
      </c>
      <c r="B46" s="113">
        <v>3190</v>
      </c>
      <c r="C46" s="116">
        <v>1344</v>
      </c>
      <c r="D46" s="168" t="s">
        <v>32</v>
      </c>
      <c r="E46" s="168"/>
      <c r="F46" s="116"/>
    </row>
    <row r="47" spans="1:6" ht="19.5" customHeight="1">
      <c r="A47" s="113" t="s">
        <v>916</v>
      </c>
      <c r="B47" s="113">
        <v>2456</v>
      </c>
      <c r="C47" s="116">
        <v>546</v>
      </c>
      <c r="D47" s="168" t="s">
        <v>32</v>
      </c>
      <c r="E47" s="168"/>
      <c r="F47" s="116"/>
    </row>
    <row r="48" spans="1:6" ht="19.5" customHeight="1">
      <c r="A48" s="113" t="s">
        <v>1104</v>
      </c>
      <c r="B48" s="113">
        <v>42</v>
      </c>
      <c r="C48" s="116"/>
      <c r="D48" s="168" t="s">
        <v>32</v>
      </c>
      <c r="E48" s="168"/>
      <c r="F48" s="116"/>
    </row>
    <row r="49" spans="1:6" ht="19.5" customHeight="1">
      <c r="A49" s="113" t="s">
        <v>1105</v>
      </c>
      <c r="B49" s="113">
        <v>17872</v>
      </c>
      <c r="C49" s="116">
        <v>3116</v>
      </c>
      <c r="D49" s="168" t="s">
        <v>32</v>
      </c>
      <c r="E49" s="168"/>
      <c r="F49" s="116"/>
    </row>
    <row r="50" spans="1:6" ht="19.5" customHeight="1">
      <c r="A50" s="113" t="s">
        <v>917</v>
      </c>
      <c r="B50" s="113">
        <v>1486</v>
      </c>
      <c r="C50" s="116">
        <v>843</v>
      </c>
      <c r="D50" s="168" t="s">
        <v>32</v>
      </c>
      <c r="E50" s="168"/>
      <c r="F50" s="116"/>
    </row>
    <row r="51" spans="1:6" ht="19.5" customHeight="1">
      <c r="A51" s="113" t="s">
        <v>1106</v>
      </c>
      <c r="B51" s="113">
        <v>110</v>
      </c>
      <c r="C51" s="116"/>
      <c r="D51" s="168" t="s">
        <v>32</v>
      </c>
      <c r="E51" s="168"/>
      <c r="F51" s="116"/>
    </row>
    <row r="52" spans="1:6" ht="19.5" customHeight="1">
      <c r="A52" s="113" t="s">
        <v>1107</v>
      </c>
      <c r="B52" s="113">
        <v>300</v>
      </c>
      <c r="C52" s="116"/>
      <c r="D52" s="168" t="s">
        <v>32</v>
      </c>
      <c r="E52" s="168"/>
      <c r="F52" s="116"/>
    </row>
    <row r="53" spans="1:6" ht="19.5" customHeight="1">
      <c r="A53" s="113" t="s">
        <v>1108</v>
      </c>
      <c r="B53" s="113"/>
      <c r="C53" s="116"/>
      <c r="D53" s="168" t="s">
        <v>32</v>
      </c>
      <c r="E53" s="168"/>
      <c r="F53" s="116"/>
    </row>
    <row r="54" spans="1:6" ht="19.5" customHeight="1">
      <c r="A54" s="113" t="s">
        <v>1109</v>
      </c>
      <c r="B54" s="113">
        <v>404</v>
      </c>
      <c r="C54" s="116">
        <v>163</v>
      </c>
      <c r="D54" s="113" t="s">
        <v>32</v>
      </c>
      <c r="E54" s="113"/>
      <c r="F54" s="116"/>
    </row>
    <row r="55" spans="1:6" ht="19.5" customHeight="1">
      <c r="A55" s="113" t="s">
        <v>918</v>
      </c>
      <c r="B55" s="113">
        <v>2945</v>
      </c>
      <c r="C55" s="116">
        <v>878</v>
      </c>
      <c r="D55" s="113" t="s">
        <v>32</v>
      </c>
      <c r="E55" s="113"/>
      <c r="F55" s="116"/>
    </row>
    <row r="56" spans="1:6" ht="19.5" customHeight="1">
      <c r="A56" s="113" t="s">
        <v>1110</v>
      </c>
      <c r="B56" s="113">
        <v>143</v>
      </c>
      <c r="C56" s="116"/>
      <c r="D56" s="113" t="s">
        <v>32</v>
      </c>
      <c r="E56" s="113"/>
      <c r="F56" s="116"/>
    </row>
    <row r="57" spans="1:6" ht="19.5" customHeight="1">
      <c r="A57" s="116" t="s">
        <v>1111</v>
      </c>
      <c r="B57" s="116"/>
      <c r="C57" s="116"/>
      <c r="D57" s="113" t="s">
        <v>32</v>
      </c>
      <c r="E57" s="113"/>
      <c r="F57" s="116"/>
    </row>
    <row r="58" spans="1:6" ht="19.5" customHeight="1">
      <c r="A58" s="116"/>
      <c r="B58" s="116"/>
      <c r="C58" s="116"/>
      <c r="D58" s="113" t="s">
        <v>32</v>
      </c>
      <c r="E58" s="113"/>
      <c r="F58" s="116"/>
    </row>
    <row r="59" spans="1:6" ht="19.5" customHeight="1">
      <c r="A59" s="116"/>
      <c r="B59" s="116"/>
      <c r="C59" s="116"/>
      <c r="D59" s="113" t="s">
        <v>32</v>
      </c>
      <c r="E59" s="113"/>
      <c r="F59" s="116"/>
    </row>
    <row r="60" spans="1:6" ht="19.5" customHeight="1">
      <c r="A60" s="138" t="s">
        <v>1112</v>
      </c>
      <c r="B60" s="138">
        <v>10640</v>
      </c>
      <c r="C60" s="116">
        <v>14056</v>
      </c>
      <c r="D60" s="168" t="s">
        <v>1113</v>
      </c>
      <c r="E60" s="113"/>
      <c r="F60" s="114">
        <f>SUM(F61:F63)</f>
        <v>0</v>
      </c>
    </row>
    <row r="61" spans="1:6" ht="19.5" customHeight="1">
      <c r="A61" s="138" t="s">
        <v>1114</v>
      </c>
      <c r="B61" s="138">
        <f>SUM(B62:B65)</f>
        <v>3251</v>
      </c>
      <c r="C61" s="114">
        <f>SUM(C62:C65)</f>
        <v>2711</v>
      </c>
      <c r="D61" s="138" t="s">
        <v>1115</v>
      </c>
      <c r="E61" s="168"/>
      <c r="F61" s="116"/>
    </row>
    <row r="62" spans="1:6" ht="19.5" customHeight="1">
      <c r="A62" s="138" t="s">
        <v>1116</v>
      </c>
      <c r="B62" s="138">
        <v>3250</v>
      </c>
      <c r="C62" s="116">
        <v>2711</v>
      </c>
      <c r="D62" s="138" t="s">
        <v>1117</v>
      </c>
      <c r="E62" s="168"/>
      <c r="F62" s="116"/>
    </row>
    <row r="63" spans="1:6" ht="19.5" customHeight="1">
      <c r="A63" s="138" t="s">
        <v>1118</v>
      </c>
      <c r="B63" s="138">
        <v>1</v>
      </c>
      <c r="C63" s="116"/>
      <c r="D63" s="138" t="s">
        <v>1119</v>
      </c>
      <c r="E63" s="168"/>
      <c r="F63" s="116"/>
    </row>
    <row r="64" spans="1:6" ht="19.5" customHeight="1">
      <c r="A64" s="138" t="s">
        <v>1120</v>
      </c>
      <c r="B64" s="138"/>
      <c r="C64" s="116"/>
      <c r="D64" s="168" t="s">
        <v>1121</v>
      </c>
      <c r="E64" s="168"/>
      <c r="F64" s="116"/>
    </row>
    <row r="65" spans="1:6" ht="19.5" customHeight="1">
      <c r="A65" s="138" t="s">
        <v>1122</v>
      </c>
      <c r="B65" s="138"/>
      <c r="C65" s="116"/>
      <c r="D65" s="138" t="s">
        <v>1123</v>
      </c>
      <c r="E65" s="138"/>
      <c r="F65" s="116">
        <v>2000</v>
      </c>
    </row>
    <row r="66" spans="1:6" ht="19.5" customHeight="1">
      <c r="A66" s="138" t="s">
        <v>1124</v>
      </c>
      <c r="B66" s="138"/>
      <c r="C66" s="116"/>
      <c r="D66" s="138" t="s">
        <v>1125</v>
      </c>
      <c r="E66" s="138"/>
      <c r="F66" s="116"/>
    </row>
    <row r="67" spans="1:6" ht="19.5" customHeight="1">
      <c r="A67" s="138" t="s">
        <v>1126</v>
      </c>
      <c r="B67" s="138">
        <v>12991</v>
      </c>
      <c r="C67" s="116"/>
      <c r="D67" s="138" t="s">
        <v>1127</v>
      </c>
      <c r="E67" s="138"/>
      <c r="F67" s="116"/>
    </row>
    <row r="68" spans="1:6" ht="19.5" customHeight="1">
      <c r="A68" s="138" t="s">
        <v>1128</v>
      </c>
      <c r="B68" s="138"/>
      <c r="C68" s="116"/>
      <c r="D68" s="168" t="s">
        <v>32</v>
      </c>
      <c r="E68" s="138"/>
      <c r="F68" s="116"/>
    </row>
    <row r="69" spans="1:6" ht="19.5" customHeight="1">
      <c r="A69" s="138" t="s">
        <v>32</v>
      </c>
      <c r="B69" s="138"/>
      <c r="C69" s="116"/>
      <c r="D69" s="138" t="s">
        <v>32</v>
      </c>
      <c r="E69" s="138"/>
      <c r="F69" s="116"/>
    </row>
    <row r="70" spans="1:6" ht="19.5" customHeight="1">
      <c r="A70" s="138"/>
      <c r="B70" s="138"/>
      <c r="C70" s="116"/>
      <c r="D70" s="138"/>
      <c r="E70" s="138"/>
      <c r="F70" s="116"/>
    </row>
    <row r="71" spans="1:6" ht="19.5" customHeight="1">
      <c r="A71" s="138"/>
      <c r="B71" s="138"/>
      <c r="C71" s="116"/>
      <c r="D71" s="138"/>
      <c r="E71" s="138"/>
      <c r="F71" s="116"/>
    </row>
    <row r="72" spans="1:6" ht="19.5" customHeight="1">
      <c r="A72" s="138"/>
      <c r="B72" s="138"/>
      <c r="C72" s="116"/>
      <c r="D72" s="138"/>
      <c r="E72" s="138"/>
      <c r="F72" s="116"/>
    </row>
    <row r="73" spans="1:6" ht="19.5" customHeight="1">
      <c r="A73" s="138"/>
      <c r="B73" s="138"/>
      <c r="C73" s="116"/>
      <c r="D73" s="138" t="s">
        <v>32</v>
      </c>
      <c r="E73" s="138"/>
      <c r="F73" s="116"/>
    </row>
    <row r="74" spans="1:6" ht="19.5" customHeight="1">
      <c r="A74" s="138"/>
      <c r="B74" s="138"/>
      <c r="C74" s="116"/>
      <c r="D74" s="138" t="s">
        <v>32</v>
      </c>
      <c r="E74" s="138"/>
      <c r="F74" s="116"/>
    </row>
    <row r="75" spans="1:6" ht="19.5" customHeight="1">
      <c r="A75" s="138"/>
      <c r="B75" s="138"/>
      <c r="C75" s="116"/>
      <c r="D75" s="138" t="s">
        <v>32</v>
      </c>
      <c r="E75" s="138"/>
      <c r="F75" s="116"/>
    </row>
    <row r="76" spans="1:6" ht="19.5" customHeight="1">
      <c r="A76" s="138"/>
      <c r="B76" s="138"/>
      <c r="C76" s="116"/>
      <c r="D76" s="138" t="s">
        <v>32</v>
      </c>
      <c r="E76" s="138"/>
      <c r="F76" s="116"/>
    </row>
    <row r="77" spans="1:6" ht="19.5" customHeight="1">
      <c r="A77" s="138"/>
      <c r="B77" s="138"/>
      <c r="C77" s="116"/>
      <c r="D77" s="138"/>
      <c r="E77" s="138"/>
      <c r="F77" s="116"/>
    </row>
    <row r="78" spans="1:6" ht="19.5" customHeight="1">
      <c r="A78" s="138"/>
      <c r="B78" s="138"/>
      <c r="C78" s="116"/>
      <c r="D78" s="138"/>
      <c r="E78" s="138"/>
      <c r="F78" s="116"/>
    </row>
    <row r="79" spans="1:6" ht="19.5" customHeight="1">
      <c r="A79" s="118" t="s">
        <v>1129</v>
      </c>
      <c r="B79" s="118">
        <f>SUM(B6,B7)</f>
        <v>150214</v>
      </c>
      <c r="C79" s="114">
        <f>SUM(C6:C7)</f>
        <v>105024</v>
      </c>
      <c r="D79" s="118" t="s">
        <v>1130</v>
      </c>
      <c r="E79" s="118"/>
      <c r="F79" s="114">
        <f>SUM(F6:F7)</f>
        <v>105024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3">
    <mergeCell ref="A2:F2"/>
    <mergeCell ref="A4:C4"/>
    <mergeCell ref="D4:F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3"/>
  <sheetViews>
    <sheetView showGridLines="0" showZeros="0" workbookViewId="0" topLeftCell="A1">
      <pane xSplit="1" ySplit="5" topLeftCell="B6" activePane="bottomRight" state="frozen"/>
      <selection pane="bottomRight" activeCell="A1" sqref="A1"/>
    </sheetView>
  </sheetViews>
  <sheetFormatPr defaultColWidth="12" defaultRowHeight="11.25"/>
  <cols>
    <col min="1" max="1" width="60.33203125" style="79" customWidth="1"/>
    <col min="2" max="2" width="20.66015625" style="79" customWidth="1"/>
    <col min="3" max="3" width="20.33203125" style="79" customWidth="1"/>
    <col min="4" max="4" width="25.5" style="79" customWidth="1"/>
    <col min="5" max="5" width="24.16015625" style="79" customWidth="1"/>
    <col min="6" max="7" width="20.33203125" style="79" customWidth="1"/>
    <col min="8" max="8" width="20.66015625" style="79" customWidth="1"/>
    <col min="9" max="16384" width="12" style="79" customWidth="1"/>
  </cols>
  <sheetData>
    <row r="1" ht="14.25">
      <c r="A1" s="126"/>
    </row>
    <row r="2" spans="1:8" ht="20.25">
      <c r="A2" s="103" t="s">
        <v>1131</v>
      </c>
      <c r="B2" s="103"/>
      <c r="C2" s="103"/>
      <c r="D2" s="103"/>
      <c r="E2" s="103"/>
      <c r="F2" s="103"/>
      <c r="G2" s="103"/>
      <c r="H2" s="103"/>
    </row>
    <row r="3" spans="1:8" ht="18" customHeight="1">
      <c r="A3" s="126"/>
      <c r="H3" s="157" t="s">
        <v>1</v>
      </c>
    </row>
    <row r="4" spans="1:8" s="101" customFormat="1" ht="31.5" customHeight="1">
      <c r="A4" s="146" t="s">
        <v>35</v>
      </c>
      <c r="B4" s="146" t="s">
        <v>1132</v>
      </c>
      <c r="C4" s="146" t="s">
        <v>1133</v>
      </c>
      <c r="D4" s="122" t="s">
        <v>1134</v>
      </c>
      <c r="E4" s="158" t="s">
        <v>1135</v>
      </c>
      <c r="F4" s="158" t="s">
        <v>1136</v>
      </c>
      <c r="G4" s="146" t="s">
        <v>1137</v>
      </c>
      <c r="H4" s="146" t="s">
        <v>1138</v>
      </c>
    </row>
    <row r="5" spans="1:8" s="101" customFormat="1" ht="27" customHeight="1">
      <c r="A5" s="146"/>
      <c r="B5" s="146"/>
      <c r="C5" s="146"/>
      <c r="D5" s="121"/>
      <c r="E5" s="158"/>
      <c r="F5" s="158"/>
      <c r="G5" s="146"/>
      <c r="H5" s="146"/>
    </row>
    <row r="6" spans="1:8" ht="19.5" customHeight="1">
      <c r="A6" s="137" t="s">
        <v>37</v>
      </c>
      <c r="B6" s="159">
        <f aca="true" t="shared" si="0" ref="B6:B69">SUM(C6:H6)</f>
        <v>9919</v>
      </c>
      <c r="C6" s="159">
        <f aca="true" t="shared" si="1" ref="C6:H6">SUM(C7:C34)</f>
        <v>9622</v>
      </c>
      <c r="D6" s="159">
        <f t="shared" si="1"/>
        <v>128</v>
      </c>
      <c r="E6" s="159">
        <f t="shared" si="1"/>
        <v>169</v>
      </c>
      <c r="F6" s="159">
        <f t="shared" si="1"/>
        <v>0</v>
      </c>
      <c r="G6" s="159">
        <f t="shared" si="1"/>
        <v>0</v>
      </c>
      <c r="H6" s="159">
        <f t="shared" si="1"/>
        <v>0</v>
      </c>
    </row>
    <row r="7" spans="1:8" ht="19.5" customHeight="1">
      <c r="A7" s="160" t="s">
        <v>38</v>
      </c>
      <c r="B7" s="159">
        <f t="shared" si="0"/>
        <v>314</v>
      </c>
      <c r="C7" s="146">
        <v>314</v>
      </c>
      <c r="D7" s="121"/>
      <c r="E7" s="146"/>
      <c r="F7" s="146"/>
      <c r="G7" s="146"/>
      <c r="H7" s="146"/>
    </row>
    <row r="8" spans="1:8" ht="19.5" customHeight="1">
      <c r="A8" s="160" t="s">
        <v>50</v>
      </c>
      <c r="B8" s="159">
        <f t="shared" si="0"/>
        <v>201</v>
      </c>
      <c r="C8" s="146">
        <v>201</v>
      </c>
      <c r="D8" s="121"/>
      <c r="E8" s="146"/>
      <c r="F8" s="146"/>
      <c r="G8" s="146"/>
      <c r="H8" s="146"/>
    </row>
    <row r="9" spans="1:8" ht="19.5" customHeight="1">
      <c r="A9" s="160" t="s">
        <v>55</v>
      </c>
      <c r="B9" s="159">
        <f t="shared" si="0"/>
        <v>3623</v>
      </c>
      <c r="C9" s="146">
        <v>3623</v>
      </c>
      <c r="D9" s="121"/>
      <c r="E9" s="146"/>
      <c r="F9" s="146"/>
      <c r="G9" s="146"/>
      <c r="H9" s="146"/>
    </row>
    <row r="10" spans="1:8" ht="19.5" customHeight="1">
      <c r="A10" s="160" t="s">
        <v>63</v>
      </c>
      <c r="B10" s="159">
        <f t="shared" si="0"/>
        <v>521</v>
      </c>
      <c r="C10" s="146">
        <v>521</v>
      </c>
      <c r="D10" s="121"/>
      <c r="E10" s="146"/>
      <c r="F10" s="146"/>
      <c r="G10" s="146"/>
      <c r="H10" s="146"/>
    </row>
    <row r="11" spans="1:8" ht="19.5" customHeight="1">
      <c r="A11" s="161" t="s">
        <v>71</v>
      </c>
      <c r="B11" s="159">
        <f t="shared" si="0"/>
        <v>313</v>
      </c>
      <c r="C11" s="146">
        <f>313-6</f>
        <v>307</v>
      </c>
      <c r="D11" s="121">
        <v>6</v>
      </c>
      <c r="E11" s="146"/>
      <c r="F11" s="146"/>
      <c r="G11" s="146"/>
      <c r="H11" s="146"/>
    </row>
    <row r="12" spans="1:8" ht="19.5" customHeight="1">
      <c r="A12" s="160" t="s">
        <v>78</v>
      </c>
      <c r="B12" s="159">
        <f t="shared" si="0"/>
        <v>968</v>
      </c>
      <c r="C12" s="146">
        <f>968-10</f>
        <v>958</v>
      </c>
      <c r="D12" s="121"/>
      <c r="E12" s="146">
        <v>10</v>
      </c>
      <c r="F12" s="146"/>
      <c r="G12" s="146"/>
      <c r="H12" s="146"/>
    </row>
    <row r="13" spans="1:8" ht="19.5" customHeight="1">
      <c r="A13" s="160" t="s">
        <v>85</v>
      </c>
      <c r="B13" s="159">
        <f t="shared" si="0"/>
        <v>30</v>
      </c>
      <c r="C13" s="146">
        <v>30</v>
      </c>
      <c r="D13" s="121"/>
      <c r="E13" s="146"/>
      <c r="F13" s="146"/>
      <c r="G13" s="146"/>
      <c r="H13" s="146"/>
    </row>
    <row r="14" spans="1:8" ht="19.5" customHeight="1">
      <c r="A14" s="161" t="s">
        <v>92</v>
      </c>
      <c r="B14" s="159">
        <f t="shared" si="0"/>
        <v>300</v>
      </c>
      <c r="C14" s="146">
        <v>300</v>
      </c>
      <c r="D14" s="121"/>
      <c r="E14" s="146"/>
      <c r="F14" s="146"/>
      <c r="G14" s="146"/>
      <c r="H14" s="146"/>
    </row>
    <row r="15" spans="1:8" ht="19.5" customHeight="1">
      <c r="A15" s="160" t="s">
        <v>96</v>
      </c>
      <c r="B15" s="159">
        <f t="shared" si="0"/>
        <v>0</v>
      </c>
      <c r="C15" s="146"/>
      <c r="D15" s="121"/>
      <c r="E15" s="146"/>
      <c r="F15" s="146"/>
      <c r="G15" s="146"/>
      <c r="H15" s="146"/>
    </row>
    <row r="16" spans="1:8" ht="19.5" customHeight="1">
      <c r="A16" s="161" t="s">
        <v>101</v>
      </c>
      <c r="B16" s="159">
        <f t="shared" si="0"/>
        <v>0</v>
      </c>
      <c r="C16" s="146"/>
      <c r="D16" s="121"/>
      <c r="E16" s="146"/>
      <c r="F16" s="146"/>
      <c r="G16" s="146"/>
      <c r="H16" s="146"/>
    </row>
    <row r="17" spans="1:8" ht="19.5" customHeight="1">
      <c r="A17" s="137" t="s">
        <v>112</v>
      </c>
      <c r="B17" s="159">
        <f t="shared" si="0"/>
        <v>325</v>
      </c>
      <c r="C17" s="146">
        <v>325</v>
      </c>
      <c r="D17" s="121"/>
      <c r="E17" s="146"/>
      <c r="F17" s="146"/>
      <c r="G17" s="146"/>
      <c r="H17" s="146"/>
    </row>
    <row r="18" spans="1:8" ht="19.5" customHeight="1">
      <c r="A18" s="137" t="s">
        <v>117</v>
      </c>
      <c r="B18" s="159">
        <f t="shared" si="0"/>
        <v>132</v>
      </c>
      <c r="C18" s="146">
        <v>132</v>
      </c>
      <c r="D18" s="121"/>
      <c r="E18" s="146"/>
      <c r="F18" s="146"/>
      <c r="G18" s="146"/>
      <c r="H18" s="146"/>
    </row>
    <row r="19" spans="1:8" ht="19.5" customHeight="1">
      <c r="A19" s="161" t="s">
        <v>124</v>
      </c>
      <c r="B19" s="159">
        <f t="shared" si="0"/>
        <v>0</v>
      </c>
      <c r="C19" s="146"/>
      <c r="D19" s="121"/>
      <c r="E19" s="146"/>
      <c r="F19" s="146"/>
      <c r="G19" s="146"/>
      <c r="H19" s="146"/>
    </row>
    <row r="20" spans="1:8" ht="19.5" customHeight="1">
      <c r="A20" s="161" t="s">
        <v>132</v>
      </c>
      <c r="B20" s="159">
        <f t="shared" si="0"/>
        <v>884</v>
      </c>
      <c r="C20" s="146">
        <f>884-63-5</f>
        <v>816</v>
      </c>
      <c r="D20" s="121">
        <v>63</v>
      </c>
      <c r="E20" s="146">
        <v>5</v>
      </c>
      <c r="F20" s="146"/>
      <c r="G20" s="146"/>
      <c r="H20" s="146"/>
    </row>
    <row r="21" spans="1:8" ht="19.5" customHeight="1">
      <c r="A21" s="160" t="s">
        <v>137</v>
      </c>
      <c r="B21" s="159">
        <f t="shared" si="0"/>
        <v>0</v>
      </c>
      <c r="C21" s="146"/>
      <c r="D21" s="121"/>
      <c r="E21" s="146"/>
      <c r="F21" s="146"/>
      <c r="G21" s="146"/>
      <c r="H21" s="146"/>
    </row>
    <row r="22" spans="1:8" ht="19.5" customHeight="1">
      <c r="A22" s="160" t="s">
        <v>145</v>
      </c>
      <c r="B22" s="159">
        <f t="shared" si="0"/>
        <v>0</v>
      </c>
      <c r="C22" s="146"/>
      <c r="D22" s="121"/>
      <c r="E22" s="146"/>
      <c r="F22" s="146"/>
      <c r="G22" s="146"/>
      <c r="H22" s="146"/>
    </row>
    <row r="23" spans="1:8" ht="19.5" customHeight="1">
      <c r="A23" s="160" t="s">
        <v>148</v>
      </c>
      <c r="B23" s="159">
        <f t="shared" si="0"/>
        <v>0</v>
      </c>
      <c r="C23" s="146"/>
      <c r="D23" s="121"/>
      <c r="E23" s="146"/>
      <c r="F23" s="146"/>
      <c r="G23" s="146"/>
      <c r="H23" s="146"/>
    </row>
    <row r="24" spans="1:8" ht="19.5" customHeight="1">
      <c r="A24" s="160" t="s">
        <v>151</v>
      </c>
      <c r="B24" s="159">
        <f t="shared" si="0"/>
        <v>0</v>
      </c>
      <c r="C24" s="146"/>
      <c r="D24" s="121"/>
      <c r="E24" s="146"/>
      <c r="F24" s="146"/>
      <c r="G24" s="146"/>
      <c r="H24" s="146"/>
    </row>
    <row r="25" spans="1:8" ht="19.5" customHeight="1">
      <c r="A25" s="161" t="s">
        <v>156</v>
      </c>
      <c r="B25" s="159">
        <f t="shared" si="0"/>
        <v>79</v>
      </c>
      <c r="C25" s="146">
        <v>79</v>
      </c>
      <c r="D25" s="121"/>
      <c r="E25" s="146"/>
      <c r="F25" s="146"/>
      <c r="G25" s="146"/>
      <c r="H25" s="146"/>
    </row>
    <row r="26" spans="1:8" ht="19.5" customHeight="1">
      <c r="A26" s="161" t="s">
        <v>159</v>
      </c>
      <c r="B26" s="159">
        <f t="shared" si="0"/>
        <v>51</v>
      </c>
      <c r="C26" s="146">
        <v>51</v>
      </c>
      <c r="D26" s="121"/>
      <c r="E26" s="146"/>
      <c r="F26" s="146"/>
      <c r="G26" s="146"/>
      <c r="H26" s="146"/>
    </row>
    <row r="27" spans="1:8" ht="19.5" customHeight="1">
      <c r="A27" s="161" t="s">
        <v>161</v>
      </c>
      <c r="B27" s="159">
        <f t="shared" si="0"/>
        <v>83</v>
      </c>
      <c r="C27" s="146">
        <f>83-24</f>
        <v>59</v>
      </c>
      <c r="D27" s="121">
        <v>24</v>
      </c>
      <c r="E27" s="146"/>
      <c r="F27" s="146"/>
      <c r="G27" s="146"/>
      <c r="H27" s="146"/>
    </row>
    <row r="28" spans="1:8" ht="19.5" customHeight="1">
      <c r="A28" s="161" t="s">
        <v>165</v>
      </c>
      <c r="B28" s="159">
        <f t="shared" si="0"/>
        <v>1235</v>
      </c>
      <c r="C28" s="146">
        <v>1235</v>
      </c>
      <c r="D28" s="121"/>
      <c r="E28" s="146"/>
      <c r="F28" s="146"/>
      <c r="G28" s="146"/>
      <c r="H28" s="146"/>
    </row>
    <row r="29" spans="1:8" ht="19.5" customHeight="1">
      <c r="A29" s="161" t="s">
        <v>168</v>
      </c>
      <c r="B29" s="159">
        <f t="shared" si="0"/>
        <v>520</v>
      </c>
      <c r="C29" s="146">
        <f>520-5-154</f>
        <v>361</v>
      </c>
      <c r="D29" s="121">
        <v>5</v>
      </c>
      <c r="E29" s="146">
        <v>154</v>
      </c>
      <c r="F29" s="146"/>
      <c r="G29" s="146"/>
      <c r="H29" s="146"/>
    </row>
    <row r="30" spans="1:8" ht="19.5" customHeight="1">
      <c r="A30" s="161" t="s">
        <v>170</v>
      </c>
      <c r="B30" s="159">
        <f t="shared" si="0"/>
        <v>259</v>
      </c>
      <c r="C30" s="146">
        <f>259-30</f>
        <v>229</v>
      </c>
      <c r="D30" s="121">
        <v>30</v>
      </c>
      <c r="E30" s="146"/>
      <c r="F30" s="146"/>
      <c r="G30" s="146"/>
      <c r="H30" s="146"/>
    </row>
    <row r="31" spans="1:8" ht="19.5" customHeight="1">
      <c r="A31" s="161" t="s">
        <v>172</v>
      </c>
      <c r="B31" s="159">
        <f t="shared" si="0"/>
        <v>81</v>
      </c>
      <c r="C31" s="146">
        <v>81</v>
      </c>
      <c r="D31" s="121"/>
      <c r="E31" s="146"/>
      <c r="F31" s="146"/>
      <c r="G31" s="146"/>
      <c r="H31" s="146"/>
    </row>
    <row r="32" spans="1:8" ht="19.5" customHeight="1">
      <c r="A32" s="161" t="s">
        <v>174</v>
      </c>
      <c r="B32" s="159">
        <f t="shared" si="0"/>
        <v>0</v>
      </c>
      <c r="C32" s="146"/>
      <c r="D32" s="121"/>
      <c r="E32" s="146"/>
      <c r="F32" s="146"/>
      <c r="G32" s="146"/>
      <c r="H32" s="146"/>
    </row>
    <row r="33" spans="1:8" ht="19.5" customHeight="1">
      <c r="A33" s="161" t="s">
        <v>176</v>
      </c>
      <c r="B33" s="159">
        <f t="shared" si="0"/>
        <v>0</v>
      </c>
      <c r="C33" s="146"/>
      <c r="D33" s="121"/>
      <c r="E33" s="146"/>
      <c r="F33" s="146"/>
      <c r="G33" s="146"/>
      <c r="H33" s="146"/>
    </row>
    <row r="34" spans="1:8" ht="19.5" customHeight="1">
      <c r="A34" s="161" t="s">
        <v>178</v>
      </c>
      <c r="B34" s="159">
        <f t="shared" si="0"/>
        <v>0</v>
      </c>
      <c r="C34" s="146"/>
      <c r="D34" s="121"/>
      <c r="E34" s="146"/>
      <c r="F34" s="146"/>
      <c r="G34" s="146"/>
      <c r="H34" s="146"/>
    </row>
    <row r="35" spans="1:8" ht="19.5" customHeight="1">
      <c r="A35" s="137" t="s">
        <v>181</v>
      </c>
      <c r="B35" s="159">
        <f t="shared" si="0"/>
        <v>0</v>
      </c>
      <c r="C35" s="159">
        <f aca="true" t="shared" si="2" ref="C35:H35">SUM(C36:C37)</f>
        <v>0</v>
      </c>
      <c r="D35" s="159">
        <f t="shared" si="2"/>
        <v>0</v>
      </c>
      <c r="E35" s="159">
        <f t="shared" si="2"/>
        <v>0</v>
      </c>
      <c r="F35" s="159">
        <f t="shared" si="2"/>
        <v>0</v>
      </c>
      <c r="G35" s="159">
        <f t="shared" si="2"/>
        <v>0</v>
      </c>
      <c r="H35" s="159">
        <f t="shared" si="2"/>
        <v>0</v>
      </c>
    </row>
    <row r="36" spans="1:8" ht="19.5" customHeight="1">
      <c r="A36" s="160" t="s">
        <v>182</v>
      </c>
      <c r="B36" s="159">
        <f t="shared" si="0"/>
        <v>0</v>
      </c>
      <c r="C36" s="146"/>
      <c r="D36" s="121"/>
      <c r="E36" s="146"/>
      <c r="F36" s="146"/>
      <c r="G36" s="146"/>
      <c r="H36" s="146"/>
    </row>
    <row r="37" spans="1:8" ht="19.5" customHeight="1">
      <c r="A37" s="160" t="s">
        <v>183</v>
      </c>
      <c r="B37" s="159">
        <f t="shared" si="0"/>
        <v>0</v>
      </c>
      <c r="C37" s="146"/>
      <c r="D37" s="121"/>
      <c r="E37" s="146"/>
      <c r="F37" s="146"/>
      <c r="G37" s="146"/>
      <c r="H37" s="146"/>
    </row>
    <row r="38" spans="1:8" ht="19.5" customHeight="1">
      <c r="A38" s="137" t="s">
        <v>184</v>
      </c>
      <c r="B38" s="159">
        <f t="shared" si="0"/>
        <v>0</v>
      </c>
      <c r="C38" s="159">
        <f aca="true" t="shared" si="3" ref="C38:H38">SUM(C39:C40)</f>
        <v>0</v>
      </c>
      <c r="D38" s="159">
        <f t="shared" si="3"/>
        <v>0</v>
      </c>
      <c r="E38" s="159">
        <f t="shared" si="3"/>
        <v>0</v>
      </c>
      <c r="F38" s="159">
        <f t="shared" si="3"/>
        <v>0</v>
      </c>
      <c r="G38" s="159">
        <f t="shared" si="3"/>
        <v>0</v>
      </c>
      <c r="H38" s="159">
        <f t="shared" si="3"/>
        <v>0</v>
      </c>
    </row>
    <row r="39" spans="1:8" ht="19.5" customHeight="1">
      <c r="A39" s="161" t="s">
        <v>185</v>
      </c>
      <c r="B39" s="159">
        <f t="shared" si="0"/>
        <v>0</v>
      </c>
      <c r="C39" s="146"/>
      <c r="D39" s="121"/>
      <c r="E39" s="146"/>
      <c r="F39" s="146"/>
      <c r="G39" s="146"/>
      <c r="H39" s="146"/>
    </row>
    <row r="40" spans="1:8" ht="19.5" customHeight="1">
      <c r="A40" s="161" t="s">
        <v>194</v>
      </c>
      <c r="B40" s="159">
        <f t="shared" si="0"/>
        <v>0</v>
      </c>
      <c r="C40" s="146"/>
      <c r="D40" s="121"/>
      <c r="E40" s="146"/>
      <c r="F40" s="146"/>
      <c r="G40" s="146"/>
      <c r="H40" s="146"/>
    </row>
    <row r="41" spans="1:8" ht="19.5" customHeight="1">
      <c r="A41" s="137" t="s">
        <v>195</v>
      </c>
      <c r="B41" s="159">
        <f t="shared" si="0"/>
        <v>4454</v>
      </c>
      <c r="C41" s="159">
        <f aca="true" t="shared" si="4" ref="C41:H41">SUM(C42:C53)</f>
        <v>4439</v>
      </c>
      <c r="D41" s="159">
        <f t="shared" si="4"/>
        <v>5</v>
      </c>
      <c r="E41" s="159">
        <f t="shared" si="4"/>
        <v>10</v>
      </c>
      <c r="F41" s="159">
        <f t="shared" si="4"/>
        <v>0</v>
      </c>
      <c r="G41" s="159">
        <f t="shared" si="4"/>
        <v>0</v>
      </c>
      <c r="H41" s="159">
        <f t="shared" si="4"/>
        <v>0</v>
      </c>
    </row>
    <row r="42" spans="1:8" ht="19.5" customHeight="1">
      <c r="A42" s="160" t="s">
        <v>196</v>
      </c>
      <c r="B42" s="159">
        <f t="shared" si="0"/>
        <v>184</v>
      </c>
      <c r="C42" s="146">
        <v>184</v>
      </c>
      <c r="D42" s="121"/>
      <c r="E42" s="146"/>
      <c r="F42" s="146"/>
      <c r="G42" s="146"/>
      <c r="H42" s="146"/>
    </row>
    <row r="43" spans="1:8" ht="19.5" customHeight="1">
      <c r="A43" s="161" t="s">
        <v>206</v>
      </c>
      <c r="B43" s="159">
        <f t="shared" si="0"/>
        <v>2761</v>
      </c>
      <c r="C43" s="130">
        <f>2569+192</f>
        <v>2761</v>
      </c>
      <c r="D43" s="130"/>
      <c r="E43" s="130"/>
      <c r="F43" s="130"/>
      <c r="G43" s="130"/>
      <c r="H43" s="130"/>
    </row>
    <row r="44" spans="1:8" ht="19.5" customHeight="1">
      <c r="A44" s="160" t="s">
        <v>223</v>
      </c>
      <c r="B44" s="159">
        <f t="shared" si="0"/>
        <v>0</v>
      </c>
      <c r="C44" s="130"/>
      <c r="D44" s="130"/>
      <c r="E44" s="130"/>
      <c r="F44" s="130"/>
      <c r="G44" s="130"/>
      <c r="H44" s="130"/>
    </row>
    <row r="45" spans="1:8" ht="19.5" customHeight="1">
      <c r="A45" s="160" t="s">
        <v>226</v>
      </c>
      <c r="B45" s="159">
        <f t="shared" si="0"/>
        <v>503</v>
      </c>
      <c r="C45" s="130">
        <v>503</v>
      </c>
      <c r="D45" s="130"/>
      <c r="E45" s="130"/>
      <c r="F45" s="130"/>
      <c r="G45" s="130"/>
      <c r="H45" s="130"/>
    </row>
    <row r="46" spans="1:8" ht="19.5" customHeight="1">
      <c r="A46" s="137" t="s">
        <v>234</v>
      </c>
      <c r="B46" s="159">
        <f t="shared" si="0"/>
        <v>675</v>
      </c>
      <c r="C46" s="130">
        <f>675-5</f>
        <v>670</v>
      </c>
      <c r="D46" s="130">
        <v>5</v>
      </c>
      <c r="E46" s="130"/>
      <c r="F46" s="130"/>
      <c r="G46" s="130"/>
      <c r="H46" s="130"/>
    </row>
    <row r="47" spans="1:8" ht="19.5" customHeight="1">
      <c r="A47" s="160" t="s">
        <v>239</v>
      </c>
      <c r="B47" s="159">
        <f t="shared" si="0"/>
        <v>331</v>
      </c>
      <c r="C47" s="130">
        <f>331-10</f>
        <v>321</v>
      </c>
      <c r="D47" s="130"/>
      <c r="E47" s="130">
        <v>10</v>
      </c>
      <c r="F47" s="130"/>
      <c r="G47" s="130"/>
      <c r="H47" s="130"/>
    </row>
    <row r="48" spans="1:8" ht="19.5" customHeight="1">
      <c r="A48" s="160" t="s">
        <v>249</v>
      </c>
      <c r="B48" s="159">
        <f t="shared" si="0"/>
        <v>0</v>
      </c>
      <c r="C48" s="130"/>
      <c r="D48" s="130"/>
      <c r="E48" s="130"/>
      <c r="F48" s="130"/>
      <c r="G48" s="130"/>
      <c r="H48" s="130"/>
    </row>
    <row r="49" spans="1:8" ht="19.5" customHeight="1">
      <c r="A49" s="161" t="s">
        <v>254</v>
      </c>
      <c r="B49" s="159">
        <f t="shared" si="0"/>
        <v>0</v>
      </c>
      <c r="C49" s="130"/>
      <c r="D49" s="130"/>
      <c r="E49" s="130"/>
      <c r="F49" s="130"/>
      <c r="G49" s="130"/>
      <c r="H49" s="130"/>
    </row>
    <row r="50" spans="1:8" ht="19.5" customHeight="1">
      <c r="A50" s="137" t="s">
        <v>259</v>
      </c>
      <c r="B50" s="159">
        <f t="shared" si="0"/>
        <v>0</v>
      </c>
      <c r="C50" s="130"/>
      <c r="D50" s="130"/>
      <c r="E50" s="130"/>
      <c r="F50" s="130"/>
      <c r="G50" s="130"/>
      <c r="H50" s="130"/>
    </row>
    <row r="51" spans="1:8" ht="19.5" customHeight="1">
      <c r="A51" s="160" t="s">
        <v>263</v>
      </c>
      <c r="B51" s="159">
        <f t="shared" si="0"/>
        <v>0</v>
      </c>
      <c r="C51" s="130"/>
      <c r="D51" s="130"/>
      <c r="E51" s="130"/>
      <c r="F51" s="130"/>
      <c r="G51" s="130"/>
      <c r="H51" s="130"/>
    </row>
    <row r="52" spans="1:8" ht="19.5" customHeight="1">
      <c r="A52" s="160" t="s">
        <v>268</v>
      </c>
      <c r="B52" s="159">
        <f t="shared" si="0"/>
        <v>0</v>
      </c>
      <c r="C52" s="130"/>
      <c r="D52" s="130"/>
      <c r="E52" s="130"/>
      <c r="F52" s="130"/>
      <c r="G52" s="130"/>
      <c r="H52" s="130"/>
    </row>
    <row r="53" spans="1:8" ht="19.5" customHeight="1">
      <c r="A53" s="160" t="s">
        <v>276</v>
      </c>
      <c r="B53" s="159">
        <f t="shared" si="0"/>
        <v>0</v>
      </c>
      <c r="C53" s="130"/>
      <c r="D53" s="130"/>
      <c r="E53" s="130"/>
      <c r="F53" s="130"/>
      <c r="G53" s="130"/>
      <c r="H53" s="130"/>
    </row>
    <row r="54" spans="1:8" ht="19.5" customHeight="1">
      <c r="A54" s="137" t="s">
        <v>277</v>
      </c>
      <c r="B54" s="159">
        <f t="shared" si="0"/>
        <v>20799</v>
      </c>
      <c r="C54" s="139">
        <f aca="true" t="shared" si="5" ref="C54:H54">SUM(C55:C64)</f>
        <v>12195</v>
      </c>
      <c r="D54" s="139">
        <f t="shared" si="5"/>
        <v>1708</v>
      </c>
      <c r="E54" s="139">
        <f t="shared" si="5"/>
        <v>4185</v>
      </c>
      <c r="F54" s="139">
        <f t="shared" si="5"/>
        <v>0</v>
      </c>
      <c r="G54" s="139">
        <f t="shared" si="5"/>
        <v>0</v>
      </c>
      <c r="H54" s="139">
        <f t="shared" si="5"/>
        <v>2711</v>
      </c>
    </row>
    <row r="55" spans="1:8" ht="19.5" customHeight="1">
      <c r="A55" s="161" t="s">
        <v>278</v>
      </c>
      <c r="B55" s="159">
        <f t="shared" si="0"/>
        <v>653</v>
      </c>
      <c r="C55" s="130">
        <v>653</v>
      </c>
      <c r="D55" s="130"/>
      <c r="E55" s="130"/>
      <c r="F55" s="130"/>
      <c r="G55" s="130"/>
      <c r="H55" s="130"/>
    </row>
    <row r="56" spans="1:8" ht="19.5" customHeight="1">
      <c r="A56" s="160" t="s">
        <v>280</v>
      </c>
      <c r="B56" s="159">
        <f t="shared" si="0"/>
        <v>19505</v>
      </c>
      <c r="C56" s="130">
        <f>19164-1566-4185-2711+341</f>
        <v>11043</v>
      </c>
      <c r="D56" s="130">
        <v>1566</v>
      </c>
      <c r="E56" s="130">
        <v>4185</v>
      </c>
      <c r="F56" s="130"/>
      <c r="G56" s="130"/>
      <c r="H56" s="130">
        <v>2711</v>
      </c>
    </row>
    <row r="57" spans="1:8" ht="19.5" customHeight="1">
      <c r="A57" s="160" t="s">
        <v>289</v>
      </c>
      <c r="B57" s="159">
        <f t="shared" si="0"/>
        <v>330</v>
      </c>
      <c r="C57" s="130">
        <f>330-71</f>
        <v>259</v>
      </c>
      <c r="D57" s="130">
        <v>71</v>
      </c>
      <c r="E57" s="130"/>
      <c r="F57" s="130"/>
      <c r="G57" s="130"/>
      <c r="H57" s="130"/>
    </row>
    <row r="58" spans="1:8" ht="19.5" customHeight="1">
      <c r="A58" s="137" t="s">
        <v>296</v>
      </c>
      <c r="B58" s="159">
        <f t="shared" si="0"/>
        <v>8</v>
      </c>
      <c r="C58" s="130">
        <f>8-3</f>
        <v>5</v>
      </c>
      <c r="D58" s="130">
        <v>3</v>
      </c>
      <c r="E58" s="130"/>
      <c r="F58" s="130"/>
      <c r="G58" s="130"/>
      <c r="H58" s="130"/>
    </row>
    <row r="59" spans="1:8" ht="19.5" customHeight="1">
      <c r="A59" s="161" t="s">
        <v>302</v>
      </c>
      <c r="B59" s="159">
        <f t="shared" si="0"/>
        <v>0</v>
      </c>
      <c r="C59" s="130"/>
      <c r="D59" s="130"/>
      <c r="E59" s="130"/>
      <c r="F59" s="130"/>
      <c r="G59" s="130"/>
      <c r="H59" s="130"/>
    </row>
    <row r="60" spans="1:8" ht="19.5" customHeight="1">
      <c r="A60" s="161" t="s">
        <v>306</v>
      </c>
      <c r="B60" s="159">
        <f t="shared" si="0"/>
        <v>0</v>
      </c>
      <c r="C60" s="130"/>
      <c r="D60" s="130"/>
      <c r="E60" s="130"/>
      <c r="F60" s="130"/>
      <c r="G60" s="130"/>
      <c r="H60" s="130"/>
    </row>
    <row r="61" spans="1:8" ht="19.5" customHeight="1">
      <c r="A61" s="160" t="s">
        <v>310</v>
      </c>
      <c r="B61" s="159">
        <f t="shared" si="0"/>
        <v>0</v>
      </c>
      <c r="C61" s="130"/>
      <c r="D61" s="130"/>
      <c r="E61" s="130"/>
      <c r="F61" s="130"/>
      <c r="G61" s="130"/>
      <c r="H61" s="130"/>
    </row>
    <row r="62" spans="1:8" ht="19.5" customHeight="1">
      <c r="A62" s="161" t="s">
        <v>314</v>
      </c>
      <c r="B62" s="159">
        <f t="shared" si="0"/>
        <v>235</v>
      </c>
      <c r="C62" s="130">
        <v>235</v>
      </c>
      <c r="D62" s="130"/>
      <c r="E62" s="130"/>
      <c r="F62" s="130"/>
      <c r="G62" s="130"/>
      <c r="H62" s="130"/>
    </row>
    <row r="63" spans="1:8" ht="19.5" customHeight="1">
      <c r="A63" s="160" t="s">
        <v>320</v>
      </c>
      <c r="B63" s="159">
        <f t="shared" si="0"/>
        <v>0</v>
      </c>
      <c r="C63" s="130"/>
      <c r="D63" s="130"/>
      <c r="E63" s="130"/>
      <c r="F63" s="130"/>
      <c r="G63" s="130"/>
      <c r="H63" s="130"/>
    </row>
    <row r="64" spans="1:8" ht="19.5" customHeight="1">
      <c r="A64" s="160" t="s">
        <v>327</v>
      </c>
      <c r="B64" s="159">
        <f t="shared" si="0"/>
        <v>68</v>
      </c>
      <c r="C64" s="130">
        <f>68-68</f>
        <v>0</v>
      </c>
      <c r="D64" s="130">
        <v>68</v>
      </c>
      <c r="E64" s="130"/>
      <c r="F64" s="130"/>
      <c r="G64" s="130"/>
      <c r="H64" s="130"/>
    </row>
    <row r="65" spans="1:8" ht="19.5" customHeight="1">
      <c r="A65" s="137" t="s">
        <v>328</v>
      </c>
      <c r="B65" s="159">
        <f t="shared" si="0"/>
        <v>135</v>
      </c>
      <c r="C65" s="139">
        <f aca="true" t="shared" si="6" ref="C65:H65">SUM(C66:C75)</f>
        <v>135</v>
      </c>
      <c r="D65" s="139">
        <f t="shared" si="6"/>
        <v>0</v>
      </c>
      <c r="E65" s="139">
        <f t="shared" si="6"/>
        <v>0</v>
      </c>
      <c r="F65" s="139">
        <f t="shared" si="6"/>
        <v>0</v>
      </c>
      <c r="G65" s="139">
        <f t="shared" si="6"/>
        <v>0</v>
      </c>
      <c r="H65" s="139">
        <f t="shared" si="6"/>
        <v>0</v>
      </c>
    </row>
    <row r="66" spans="1:8" ht="19.5" customHeight="1">
      <c r="A66" s="161" t="s">
        <v>329</v>
      </c>
      <c r="B66" s="159">
        <f t="shared" si="0"/>
        <v>78</v>
      </c>
      <c r="C66" s="130">
        <v>78</v>
      </c>
      <c r="D66" s="130"/>
      <c r="E66" s="130"/>
      <c r="F66" s="130"/>
      <c r="G66" s="130"/>
      <c r="H66" s="130"/>
    </row>
    <row r="67" spans="1:8" ht="19.5" customHeight="1">
      <c r="A67" s="160" t="s">
        <v>331</v>
      </c>
      <c r="B67" s="159">
        <f t="shared" si="0"/>
        <v>0</v>
      </c>
      <c r="C67" s="130"/>
      <c r="D67" s="130"/>
      <c r="E67" s="130"/>
      <c r="F67" s="130"/>
      <c r="G67" s="130"/>
      <c r="H67" s="130"/>
    </row>
    <row r="68" spans="1:8" ht="19.5" customHeight="1">
      <c r="A68" s="161" t="s">
        <v>340</v>
      </c>
      <c r="B68" s="159">
        <f t="shared" si="0"/>
        <v>0</v>
      </c>
      <c r="C68" s="130"/>
      <c r="D68" s="130"/>
      <c r="E68" s="130"/>
      <c r="F68" s="130"/>
      <c r="G68" s="130"/>
      <c r="H68" s="130"/>
    </row>
    <row r="69" spans="1:8" ht="19.5" customHeight="1">
      <c r="A69" s="161" t="s">
        <v>345</v>
      </c>
      <c r="B69" s="159">
        <f t="shared" si="0"/>
        <v>0</v>
      </c>
      <c r="C69" s="130"/>
      <c r="D69" s="130"/>
      <c r="E69" s="130"/>
      <c r="F69" s="130"/>
      <c r="G69" s="130"/>
      <c r="H69" s="130"/>
    </row>
    <row r="70" spans="1:8" ht="19.5" customHeight="1">
      <c r="A70" s="161" t="s">
        <v>350</v>
      </c>
      <c r="B70" s="159">
        <f aca="true" t="shared" si="7" ref="B70:B133">SUM(C70:H70)</f>
        <v>0</v>
      </c>
      <c r="C70" s="130"/>
      <c r="D70" s="130"/>
      <c r="E70" s="130"/>
      <c r="F70" s="130"/>
      <c r="G70" s="130"/>
      <c r="H70" s="130"/>
    </row>
    <row r="71" spans="1:8" ht="19.5" customHeight="1">
      <c r="A71" s="161" t="s">
        <v>354</v>
      </c>
      <c r="B71" s="159">
        <f t="shared" si="7"/>
        <v>0</v>
      </c>
      <c r="C71" s="130"/>
      <c r="D71" s="130"/>
      <c r="E71" s="130"/>
      <c r="F71" s="130"/>
      <c r="G71" s="130"/>
      <c r="H71" s="130"/>
    </row>
    <row r="72" spans="1:8" ht="19.5" customHeight="1">
      <c r="A72" s="160" t="s">
        <v>359</v>
      </c>
      <c r="B72" s="159">
        <f t="shared" si="7"/>
        <v>57</v>
      </c>
      <c r="C72" s="130">
        <v>57</v>
      </c>
      <c r="D72" s="130"/>
      <c r="E72" s="130"/>
      <c r="F72" s="130"/>
      <c r="G72" s="130"/>
      <c r="H72" s="130"/>
    </row>
    <row r="73" spans="1:8" ht="19.5" customHeight="1">
      <c r="A73" s="160" t="s">
        <v>365</v>
      </c>
      <c r="B73" s="159">
        <f t="shared" si="7"/>
        <v>0</v>
      </c>
      <c r="C73" s="130"/>
      <c r="D73" s="130"/>
      <c r="E73" s="130"/>
      <c r="F73" s="130"/>
      <c r="G73" s="130"/>
      <c r="H73" s="130"/>
    </row>
    <row r="74" spans="1:8" ht="19.5" customHeight="1">
      <c r="A74" s="137" t="s">
        <v>369</v>
      </c>
      <c r="B74" s="159">
        <f t="shared" si="7"/>
        <v>0</v>
      </c>
      <c r="C74" s="130"/>
      <c r="D74" s="130"/>
      <c r="E74" s="130"/>
      <c r="F74" s="130"/>
      <c r="G74" s="130"/>
      <c r="H74" s="130"/>
    </row>
    <row r="75" spans="1:8" ht="19.5" customHeight="1">
      <c r="A75" s="160" t="s">
        <v>372</v>
      </c>
      <c r="B75" s="159">
        <f t="shared" si="7"/>
        <v>0</v>
      </c>
      <c r="C75" s="130"/>
      <c r="D75" s="130"/>
      <c r="E75" s="130"/>
      <c r="F75" s="130"/>
      <c r="G75" s="130"/>
      <c r="H75" s="130"/>
    </row>
    <row r="76" spans="1:8" ht="19.5" customHeight="1">
      <c r="A76" s="137" t="s">
        <v>377</v>
      </c>
      <c r="B76" s="159">
        <f t="shared" si="7"/>
        <v>1744</v>
      </c>
      <c r="C76" s="139">
        <f aca="true" t="shared" si="8" ref="C76:H76">SUM(C77:C81)</f>
        <v>1564</v>
      </c>
      <c r="D76" s="139">
        <f t="shared" si="8"/>
        <v>166</v>
      </c>
      <c r="E76" s="139">
        <f t="shared" si="8"/>
        <v>14</v>
      </c>
      <c r="F76" s="139">
        <f t="shared" si="8"/>
        <v>0</v>
      </c>
      <c r="G76" s="139">
        <f t="shared" si="8"/>
        <v>0</v>
      </c>
      <c r="H76" s="139">
        <f t="shared" si="8"/>
        <v>0</v>
      </c>
    </row>
    <row r="77" spans="1:8" ht="19.5" customHeight="1">
      <c r="A77" s="137" t="s">
        <v>378</v>
      </c>
      <c r="B77" s="159">
        <f t="shared" si="7"/>
        <v>765</v>
      </c>
      <c r="C77" s="130">
        <v>765</v>
      </c>
      <c r="D77" s="130"/>
      <c r="E77" s="130"/>
      <c r="F77" s="130"/>
      <c r="G77" s="130"/>
      <c r="H77" s="130"/>
    </row>
    <row r="78" spans="1:8" ht="19.5" customHeight="1">
      <c r="A78" s="137" t="s">
        <v>389</v>
      </c>
      <c r="B78" s="159">
        <f t="shared" si="7"/>
        <v>312</v>
      </c>
      <c r="C78" s="130">
        <f>312-60</f>
        <v>252</v>
      </c>
      <c r="D78" s="130">
        <v>60</v>
      </c>
      <c r="E78" s="130"/>
      <c r="F78" s="130"/>
      <c r="G78" s="130"/>
      <c r="H78" s="130"/>
    </row>
    <row r="79" spans="1:8" ht="19.5" customHeight="1">
      <c r="A79" s="137" t="s">
        <v>394</v>
      </c>
      <c r="B79" s="159">
        <f t="shared" si="7"/>
        <v>0</v>
      </c>
      <c r="C79" s="130"/>
      <c r="D79" s="130"/>
      <c r="E79" s="130"/>
      <c r="F79" s="130"/>
      <c r="G79" s="130"/>
      <c r="H79" s="130"/>
    </row>
    <row r="80" spans="1:8" ht="19.5" customHeight="1">
      <c r="A80" s="137" t="s">
        <v>402</v>
      </c>
      <c r="B80" s="159">
        <f t="shared" si="7"/>
        <v>583</v>
      </c>
      <c r="C80" s="130">
        <f>583-39</f>
        <v>544</v>
      </c>
      <c r="D80" s="130">
        <v>39</v>
      </c>
      <c r="E80" s="130"/>
      <c r="F80" s="130"/>
      <c r="G80" s="130"/>
      <c r="H80" s="130"/>
    </row>
    <row r="81" spans="1:8" ht="19.5" customHeight="1">
      <c r="A81" s="137" t="s">
        <v>410</v>
      </c>
      <c r="B81" s="159">
        <f t="shared" si="7"/>
        <v>84</v>
      </c>
      <c r="C81" s="130">
        <f>84-67-14</f>
        <v>3</v>
      </c>
      <c r="D81" s="130">
        <v>67</v>
      </c>
      <c r="E81" s="130">
        <v>14</v>
      </c>
      <c r="F81" s="130"/>
      <c r="G81" s="130"/>
      <c r="H81" s="130"/>
    </row>
    <row r="82" spans="1:8" ht="19.5" customHeight="1">
      <c r="A82" s="137" t="s">
        <v>414</v>
      </c>
      <c r="B82" s="159">
        <f t="shared" si="7"/>
        <v>22937</v>
      </c>
      <c r="C82" s="139">
        <f aca="true" t="shared" si="9" ref="C82:H82">SUM(C83:C102)</f>
        <v>14756</v>
      </c>
      <c r="D82" s="139">
        <f t="shared" si="9"/>
        <v>3441</v>
      </c>
      <c r="E82" s="139">
        <f t="shared" si="9"/>
        <v>4740</v>
      </c>
      <c r="F82" s="139">
        <f t="shared" si="9"/>
        <v>0</v>
      </c>
      <c r="G82" s="139">
        <f t="shared" si="9"/>
        <v>0</v>
      </c>
      <c r="H82" s="139">
        <f t="shared" si="9"/>
        <v>0</v>
      </c>
    </row>
    <row r="83" spans="1:8" ht="19.5" customHeight="1">
      <c r="A83" s="137" t="s">
        <v>415</v>
      </c>
      <c r="B83" s="159">
        <f t="shared" si="7"/>
        <v>883</v>
      </c>
      <c r="C83" s="130">
        <v>883</v>
      </c>
      <c r="D83" s="130"/>
      <c r="E83" s="130"/>
      <c r="F83" s="130"/>
      <c r="G83" s="130"/>
      <c r="H83" s="130"/>
    </row>
    <row r="84" spans="1:8" ht="19.5" customHeight="1">
      <c r="A84" s="137" t="s">
        <v>425</v>
      </c>
      <c r="B84" s="159">
        <f t="shared" si="7"/>
        <v>310</v>
      </c>
      <c r="C84" s="130">
        <v>310</v>
      </c>
      <c r="D84" s="130"/>
      <c r="E84" s="130"/>
      <c r="F84" s="130"/>
      <c r="G84" s="130"/>
      <c r="H84" s="130"/>
    </row>
    <row r="85" spans="1:8" ht="19.5" customHeight="1">
      <c r="A85" s="137" t="s">
        <v>433</v>
      </c>
      <c r="B85" s="159">
        <f t="shared" si="7"/>
        <v>0</v>
      </c>
      <c r="C85" s="130"/>
      <c r="D85" s="130"/>
      <c r="E85" s="130"/>
      <c r="F85" s="130"/>
      <c r="G85" s="130"/>
      <c r="H85" s="130"/>
    </row>
    <row r="86" spans="1:8" ht="19.5" customHeight="1">
      <c r="A86" s="137" t="s">
        <v>435</v>
      </c>
      <c r="B86" s="159">
        <f t="shared" si="7"/>
        <v>14976</v>
      </c>
      <c r="C86" s="130">
        <f>13652-4229+1324</f>
        <v>10747</v>
      </c>
      <c r="D86" s="130"/>
      <c r="E86" s="130">
        <v>4229</v>
      </c>
      <c r="F86" s="130"/>
      <c r="G86" s="130"/>
      <c r="H86" s="130"/>
    </row>
    <row r="87" spans="1:8" ht="19.5" customHeight="1">
      <c r="A87" s="137" t="s">
        <v>444</v>
      </c>
      <c r="B87" s="159">
        <f t="shared" si="7"/>
        <v>0</v>
      </c>
      <c r="C87" s="130"/>
      <c r="D87" s="130"/>
      <c r="E87" s="130"/>
      <c r="F87" s="130"/>
      <c r="G87" s="130"/>
      <c r="H87" s="130"/>
    </row>
    <row r="88" spans="1:8" ht="19.5" customHeight="1">
      <c r="A88" s="137" t="s">
        <v>448</v>
      </c>
      <c r="B88" s="159">
        <f t="shared" si="7"/>
        <v>1222</v>
      </c>
      <c r="C88" s="130">
        <f>1222-1174-38</f>
        <v>10</v>
      </c>
      <c r="D88" s="130">
        <v>1174</v>
      </c>
      <c r="E88" s="130">
        <v>38</v>
      </c>
      <c r="F88" s="130"/>
      <c r="G88" s="130"/>
      <c r="H88" s="130"/>
    </row>
    <row r="89" spans="1:8" ht="19.5" customHeight="1">
      <c r="A89" s="137" t="s">
        <v>458</v>
      </c>
      <c r="B89" s="159">
        <f t="shared" si="7"/>
        <v>665</v>
      </c>
      <c r="C89" s="130">
        <f>665-210-101</f>
        <v>354</v>
      </c>
      <c r="D89" s="130">
        <v>210</v>
      </c>
      <c r="E89" s="130">
        <v>101</v>
      </c>
      <c r="F89" s="130"/>
      <c r="G89" s="130"/>
      <c r="H89" s="130"/>
    </row>
    <row r="90" spans="1:8" ht="19.5" customHeight="1">
      <c r="A90" s="137" t="s">
        <v>466</v>
      </c>
      <c r="B90" s="159">
        <f t="shared" si="7"/>
        <v>75</v>
      </c>
      <c r="C90" s="130">
        <f>75-27</f>
        <v>48</v>
      </c>
      <c r="D90" s="130">
        <v>27</v>
      </c>
      <c r="E90" s="130"/>
      <c r="F90" s="130"/>
      <c r="G90" s="130"/>
      <c r="H90" s="130"/>
    </row>
    <row r="91" spans="1:8" ht="19.5" customHeight="1">
      <c r="A91" s="137" t="s">
        <v>472</v>
      </c>
      <c r="B91" s="159">
        <f t="shared" si="7"/>
        <v>16</v>
      </c>
      <c r="C91" s="130">
        <f>16-13</f>
        <v>3</v>
      </c>
      <c r="D91" s="130">
        <v>13</v>
      </c>
      <c r="E91" s="130"/>
      <c r="F91" s="130"/>
      <c r="G91" s="130"/>
      <c r="H91" s="130"/>
    </row>
    <row r="92" spans="1:8" ht="19.5" customHeight="1">
      <c r="A92" s="137" t="s">
        <v>479</v>
      </c>
      <c r="B92" s="159">
        <f t="shared" si="7"/>
        <v>237</v>
      </c>
      <c r="C92" s="130">
        <f>237-49-2</f>
        <v>186</v>
      </c>
      <c r="D92" s="130">
        <v>49</v>
      </c>
      <c r="E92" s="130">
        <v>2</v>
      </c>
      <c r="F92" s="130"/>
      <c r="G92" s="130"/>
      <c r="H92" s="130"/>
    </row>
    <row r="93" spans="1:8" ht="19.5" customHeight="1">
      <c r="A93" s="137" t="s">
        <v>485</v>
      </c>
      <c r="B93" s="159">
        <f t="shared" si="7"/>
        <v>280</v>
      </c>
      <c r="C93" s="130">
        <f>280-270</f>
        <v>10</v>
      </c>
      <c r="D93" s="130"/>
      <c r="E93" s="130">
        <v>270</v>
      </c>
      <c r="F93" s="130"/>
      <c r="G93" s="130"/>
      <c r="H93" s="130"/>
    </row>
    <row r="94" spans="1:8" ht="19.5" customHeight="1">
      <c r="A94" s="137" t="s">
        <v>490</v>
      </c>
      <c r="B94" s="159">
        <f t="shared" si="7"/>
        <v>61</v>
      </c>
      <c r="C94" s="130">
        <v>61</v>
      </c>
      <c r="D94" s="130"/>
      <c r="E94" s="130"/>
      <c r="F94" s="130"/>
      <c r="G94" s="130"/>
      <c r="H94" s="130"/>
    </row>
    <row r="95" spans="1:8" ht="19.5" customHeight="1">
      <c r="A95" s="137" t="s">
        <v>492</v>
      </c>
      <c r="B95" s="159">
        <f t="shared" si="7"/>
        <v>280</v>
      </c>
      <c r="C95" s="130">
        <v>280</v>
      </c>
      <c r="D95" s="130"/>
      <c r="E95" s="130"/>
      <c r="F95" s="130"/>
      <c r="G95" s="130"/>
      <c r="H95" s="130"/>
    </row>
    <row r="96" spans="1:8" ht="19.5" customHeight="1">
      <c r="A96" s="137" t="s">
        <v>495</v>
      </c>
      <c r="B96" s="159">
        <f t="shared" si="7"/>
        <v>15</v>
      </c>
      <c r="C96" s="130">
        <f>15-5</f>
        <v>10</v>
      </c>
      <c r="D96" s="130">
        <v>5</v>
      </c>
      <c r="E96" s="130"/>
      <c r="F96" s="130"/>
      <c r="G96" s="130"/>
      <c r="H96" s="130"/>
    </row>
    <row r="97" spans="1:8" ht="19.5" customHeight="1">
      <c r="A97" s="137" t="s">
        <v>498</v>
      </c>
      <c r="B97" s="159">
        <f t="shared" si="7"/>
        <v>185</v>
      </c>
      <c r="C97" s="130">
        <v>185</v>
      </c>
      <c r="D97" s="130"/>
      <c r="E97" s="130"/>
      <c r="F97" s="130"/>
      <c r="G97" s="130"/>
      <c r="H97" s="130"/>
    </row>
    <row r="98" spans="1:8" ht="19.5" customHeight="1">
      <c r="A98" s="137" t="s">
        <v>501</v>
      </c>
      <c r="B98" s="159">
        <f t="shared" si="7"/>
        <v>0</v>
      </c>
      <c r="C98" s="130"/>
      <c r="D98" s="130"/>
      <c r="E98" s="130"/>
      <c r="F98" s="130"/>
      <c r="G98" s="130"/>
      <c r="H98" s="130"/>
    </row>
    <row r="99" spans="1:8" ht="19.5" customHeight="1">
      <c r="A99" s="137" t="s">
        <v>504</v>
      </c>
      <c r="B99" s="159">
        <f t="shared" si="7"/>
        <v>28</v>
      </c>
      <c r="C99" s="130">
        <v>28</v>
      </c>
      <c r="D99" s="130"/>
      <c r="E99" s="130"/>
      <c r="F99" s="130"/>
      <c r="G99" s="130"/>
      <c r="H99" s="130"/>
    </row>
    <row r="100" spans="1:8" ht="19.5" customHeight="1">
      <c r="A100" s="137" t="s">
        <v>1139</v>
      </c>
      <c r="B100" s="159">
        <f t="shared" si="7"/>
        <v>1351</v>
      </c>
      <c r="C100" s="130">
        <v>1351</v>
      </c>
      <c r="D100" s="130"/>
      <c r="E100" s="130"/>
      <c r="F100" s="130"/>
      <c r="G100" s="130"/>
      <c r="H100" s="130"/>
    </row>
    <row r="101" spans="1:8" ht="19.5" customHeight="1">
      <c r="A101" s="137" t="s">
        <v>1140</v>
      </c>
      <c r="B101" s="159">
        <f t="shared" si="7"/>
        <v>290</v>
      </c>
      <c r="C101" s="130">
        <v>290</v>
      </c>
      <c r="D101" s="130"/>
      <c r="E101" s="130"/>
      <c r="F101" s="130"/>
      <c r="G101" s="130"/>
      <c r="H101" s="130"/>
    </row>
    <row r="102" spans="1:8" ht="19.5" customHeight="1">
      <c r="A102" s="137" t="s">
        <v>516</v>
      </c>
      <c r="B102" s="159">
        <f t="shared" si="7"/>
        <v>2063</v>
      </c>
      <c r="C102" s="130">
        <f>2063-1963-100</f>
        <v>0</v>
      </c>
      <c r="D102" s="130">
        <v>1963</v>
      </c>
      <c r="E102" s="130">
        <v>100</v>
      </c>
      <c r="F102" s="130"/>
      <c r="G102" s="130"/>
      <c r="H102" s="130"/>
    </row>
    <row r="103" spans="1:8" ht="19.5" customHeight="1">
      <c r="A103" s="137" t="s">
        <v>517</v>
      </c>
      <c r="B103" s="159">
        <f t="shared" si="7"/>
        <v>9618</v>
      </c>
      <c r="C103" s="139">
        <f aca="true" t="shared" si="10" ref="C103:H103">SUM(C104:C115)</f>
        <v>8132</v>
      </c>
      <c r="D103" s="139">
        <f t="shared" si="10"/>
        <v>1344</v>
      </c>
      <c r="E103" s="139">
        <f t="shared" si="10"/>
        <v>142</v>
      </c>
      <c r="F103" s="139">
        <f t="shared" si="10"/>
        <v>0</v>
      </c>
      <c r="G103" s="139">
        <f t="shared" si="10"/>
        <v>0</v>
      </c>
      <c r="H103" s="139">
        <f t="shared" si="10"/>
        <v>0</v>
      </c>
    </row>
    <row r="104" spans="1:8" ht="19.5" customHeight="1">
      <c r="A104" s="137" t="s">
        <v>518</v>
      </c>
      <c r="B104" s="159">
        <f t="shared" si="7"/>
        <v>437</v>
      </c>
      <c r="C104" s="130">
        <v>437</v>
      </c>
      <c r="D104" s="130"/>
      <c r="E104" s="130"/>
      <c r="F104" s="130"/>
      <c r="G104" s="130"/>
      <c r="H104" s="130"/>
    </row>
    <row r="105" spans="1:8" ht="19.5" customHeight="1">
      <c r="A105" s="137" t="s">
        <v>520</v>
      </c>
      <c r="B105" s="159">
        <f t="shared" si="7"/>
        <v>2007</v>
      </c>
      <c r="C105" s="130">
        <f>2007-318-36</f>
        <v>1653</v>
      </c>
      <c r="D105" s="130">
        <v>318</v>
      </c>
      <c r="E105" s="130">
        <v>36</v>
      </c>
      <c r="F105" s="130"/>
      <c r="G105" s="130"/>
      <c r="H105" s="130"/>
    </row>
    <row r="106" spans="1:8" ht="19.5" customHeight="1">
      <c r="A106" s="137" t="s">
        <v>533</v>
      </c>
      <c r="B106" s="159">
        <f t="shared" si="7"/>
        <v>718</v>
      </c>
      <c r="C106" s="130">
        <f>718-17-55</f>
        <v>646</v>
      </c>
      <c r="D106" s="130">
        <v>17</v>
      </c>
      <c r="E106" s="130">
        <v>55</v>
      </c>
      <c r="F106" s="130"/>
      <c r="G106" s="130"/>
      <c r="H106" s="130"/>
    </row>
    <row r="107" spans="1:8" ht="19.5" customHeight="1">
      <c r="A107" s="137" t="s">
        <v>537</v>
      </c>
      <c r="B107" s="159">
        <f t="shared" si="7"/>
        <v>1150</v>
      </c>
      <c r="C107" s="130">
        <f>1150-478-51</f>
        <v>621</v>
      </c>
      <c r="D107" s="130">
        <v>478</v>
      </c>
      <c r="E107" s="130">
        <v>51</v>
      </c>
      <c r="F107" s="130"/>
      <c r="G107" s="130"/>
      <c r="H107" s="130"/>
    </row>
    <row r="108" spans="1:8" ht="19.5" customHeight="1">
      <c r="A108" s="137" t="s">
        <v>549</v>
      </c>
      <c r="B108" s="159">
        <f t="shared" si="7"/>
        <v>74</v>
      </c>
      <c r="C108" s="130">
        <f>74-74</f>
        <v>0</v>
      </c>
      <c r="D108" s="130">
        <v>74</v>
      </c>
      <c r="E108" s="130"/>
      <c r="F108" s="130"/>
      <c r="G108" s="130"/>
      <c r="H108" s="130"/>
    </row>
    <row r="109" spans="1:8" ht="19.5" customHeight="1">
      <c r="A109" s="137" t="s">
        <v>552</v>
      </c>
      <c r="B109" s="159">
        <f t="shared" si="7"/>
        <v>347</v>
      </c>
      <c r="C109" s="130">
        <f>347-78</f>
        <v>269</v>
      </c>
      <c r="D109" s="130">
        <v>78</v>
      </c>
      <c r="E109" s="130"/>
      <c r="F109" s="130"/>
      <c r="G109" s="130"/>
      <c r="H109" s="130"/>
    </row>
    <row r="110" spans="1:8" ht="19.5" customHeight="1">
      <c r="A110" s="137" t="s">
        <v>556</v>
      </c>
      <c r="B110" s="159">
        <f t="shared" si="7"/>
        <v>273</v>
      </c>
      <c r="C110" s="130">
        <f>273-14</f>
        <v>259</v>
      </c>
      <c r="D110" s="130">
        <v>14</v>
      </c>
      <c r="E110" s="130"/>
      <c r="F110" s="130"/>
      <c r="G110" s="130"/>
      <c r="H110" s="130"/>
    </row>
    <row r="111" spans="1:8" ht="19.5" customHeight="1">
      <c r="A111" s="137" t="s">
        <v>562</v>
      </c>
      <c r="B111" s="159">
        <f t="shared" si="7"/>
        <v>1232</v>
      </c>
      <c r="C111" s="130">
        <v>1232</v>
      </c>
      <c r="D111" s="130"/>
      <c r="E111" s="130"/>
      <c r="F111" s="130"/>
      <c r="G111" s="130"/>
      <c r="H111" s="130"/>
    </row>
    <row r="112" spans="1:8" ht="19.5" customHeight="1">
      <c r="A112" s="137" t="s">
        <v>567</v>
      </c>
      <c r="B112" s="159">
        <f t="shared" si="7"/>
        <v>3003</v>
      </c>
      <c r="C112" s="130">
        <v>3003</v>
      </c>
      <c r="D112" s="130"/>
      <c r="E112" s="130"/>
      <c r="F112" s="130"/>
      <c r="G112" s="130"/>
      <c r="H112" s="130"/>
    </row>
    <row r="113" spans="1:8" ht="19.5" customHeight="1">
      <c r="A113" s="137" t="s">
        <v>573</v>
      </c>
      <c r="B113" s="159">
        <f t="shared" si="7"/>
        <v>258</v>
      </c>
      <c r="C113" s="130">
        <f>258-246</f>
        <v>12</v>
      </c>
      <c r="D113" s="130">
        <v>246</v>
      </c>
      <c r="E113" s="130"/>
      <c r="F113" s="130"/>
      <c r="G113" s="130"/>
      <c r="H113" s="130"/>
    </row>
    <row r="114" spans="1:8" ht="19.5" customHeight="1">
      <c r="A114" s="137" t="s">
        <v>577</v>
      </c>
      <c r="B114" s="159">
        <f t="shared" si="7"/>
        <v>10</v>
      </c>
      <c r="C114" s="130">
        <f>10-10</f>
        <v>0</v>
      </c>
      <c r="D114" s="130">
        <v>10</v>
      </c>
      <c r="E114" s="130"/>
      <c r="F114" s="130"/>
      <c r="G114" s="130"/>
      <c r="H114" s="130"/>
    </row>
    <row r="115" spans="1:8" ht="19.5" customHeight="1">
      <c r="A115" s="137" t="s">
        <v>580</v>
      </c>
      <c r="B115" s="159">
        <f t="shared" si="7"/>
        <v>109</v>
      </c>
      <c r="C115" s="130">
        <f>109-109</f>
        <v>0</v>
      </c>
      <c r="D115" s="130">
        <v>109</v>
      </c>
      <c r="E115" s="130"/>
      <c r="F115" s="130"/>
      <c r="G115" s="130"/>
      <c r="H115" s="130"/>
    </row>
    <row r="116" spans="1:8" ht="19.5" customHeight="1">
      <c r="A116" s="137" t="s">
        <v>581</v>
      </c>
      <c r="B116" s="159">
        <f t="shared" si="7"/>
        <v>1961</v>
      </c>
      <c r="C116" s="139">
        <f aca="true" t="shared" si="11" ref="C116:H116">SUM(C117:C131)</f>
        <v>1082</v>
      </c>
      <c r="D116" s="139">
        <f t="shared" si="11"/>
        <v>546</v>
      </c>
      <c r="E116" s="139">
        <f t="shared" si="11"/>
        <v>333</v>
      </c>
      <c r="F116" s="139">
        <f t="shared" si="11"/>
        <v>0</v>
      </c>
      <c r="G116" s="139">
        <f t="shared" si="11"/>
        <v>0</v>
      </c>
      <c r="H116" s="139">
        <f t="shared" si="11"/>
        <v>0</v>
      </c>
    </row>
    <row r="117" spans="1:8" ht="19.5" customHeight="1">
      <c r="A117" s="137" t="s">
        <v>582</v>
      </c>
      <c r="B117" s="159">
        <f t="shared" si="7"/>
        <v>208</v>
      </c>
      <c r="C117" s="130">
        <v>208</v>
      </c>
      <c r="D117" s="130"/>
      <c r="E117" s="130"/>
      <c r="F117" s="130"/>
      <c r="G117" s="130"/>
      <c r="H117" s="130"/>
    </row>
    <row r="118" spans="1:8" ht="19.5" customHeight="1">
      <c r="A118" s="137" t="s">
        <v>588</v>
      </c>
      <c r="B118" s="159">
        <f t="shared" si="7"/>
        <v>26</v>
      </c>
      <c r="C118" s="130">
        <v>26</v>
      </c>
      <c r="D118" s="130"/>
      <c r="E118" s="130"/>
      <c r="F118" s="130"/>
      <c r="G118" s="130"/>
      <c r="H118" s="130"/>
    </row>
    <row r="119" spans="1:8" ht="19.5" customHeight="1">
      <c r="A119" s="137" t="s">
        <v>592</v>
      </c>
      <c r="B119" s="159">
        <f t="shared" si="7"/>
        <v>332</v>
      </c>
      <c r="C119" s="130">
        <f>332-320</f>
        <v>12</v>
      </c>
      <c r="D119" s="130"/>
      <c r="E119" s="130">
        <v>320</v>
      </c>
      <c r="F119" s="130"/>
      <c r="G119" s="130"/>
      <c r="H119" s="130"/>
    </row>
    <row r="120" spans="1:8" ht="19.5" customHeight="1">
      <c r="A120" s="137" t="s">
        <v>600</v>
      </c>
      <c r="B120" s="159">
        <f t="shared" si="7"/>
        <v>236</v>
      </c>
      <c r="C120" s="130">
        <v>236</v>
      </c>
      <c r="D120" s="130"/>
      <c r="E120" s="130"/>
      <c r="F120" s="130"/>
      <c r="G120" s="130"/>
      <c r="H120" s="130"/>
    </row>
    <row r="121" spans="1:8" ht="19.5" customHeight="1">
      <c r="A121" s="137" t="s">
        <v>606</v>
      </c>
      <c r="B121" s="159">
        <f t="shared" si="7"/>
        <v>36</v>
      </c>
      <c r="C121" s="130">
        <f>36-23-13</f>
        <v>0</v>
      </c>
      <c r="D121" s="130">
        <v>23</v>
      </c>
      <c r="E121" s="130">
        <v>13</v>
      </c>
      <c r="F121" s="130"/>
      <c r="G121" s="130"/>
      <c r="H121" s="130"/>
    </row>
    <row r="122" spans="1:8" ht="19.5" customHeight="1">
      <c r="A122" s="137" t="s">
        <v>612</v>
      </c>
      <c r="B122" s="159">
        <f t="shared" si="7"/>
        <v>523</v>
      </c>
      <c r="C122" s="130">
        <f>523-523</f>
        <v>0</v>
      </c>
      <c r="D122" s="130">
        <v>523</v>
      </c>
      <c r="E122" s="130"/>
      <c r="F122" s="130"/>
      <c r="G122" s="130"/>
      <c r="H122" s="130"/>
    </row>
    <row r="123" spans="1:8" ht="19.5" customHeight="1">
      <c r="A123" s="137" t="s">
        <v>618</v>
      </c>
      <c r="B123" s="159">
        <f t="shared" si="7"/>
        <v>0</v>
      </c>
      <c r="C123" s="130"/>
      <c r="D123" s="130"/>
      <c r="E123" s="130"/>
      <c r="F123" s="130"/>
      <c r="G123" s="130"/>
      <c r="H123" s="130"/>
    </row>
    <row r="124" spans="1:8" ht="19.5" customHeight="1">
      <c r="A124" s="137" t="s">
        <v>621</v>
      </c>
      <c r="B124" s="159">
        <f t="shared" si="7"/>
        <v>0</v>
      </c>
      <c r="C124" s="130"/>
      <c r="D124" s="130"/>
      <c r="E124" s="130"/>
      <c r="F124" s="130"/>
      <c r="G124" s="130"/>
      <c r="H124" s="130"/>
    </row>
    <row r="125" spans="1:8" ht="19.5" customHeight="1">
      <c r="A125" s="137" t="s">
        <v>624</v>
      </c>
      <c r="B125" s="159">
        <f t="shared" si="7"/>
        <v>0</v>
      </c>
      <c r="C125" s="130"/>
      <c r="D125" s="130"/>
      <c r="E125" s="130"/>
      <c r="F125" s="130"/>
      <c r="G125" s="130"/>
      <c r="H125" s="130"/>
    </row>
    <row r="126" spans="1:8" ht="19.5" customHeight="1">
      <c r="A126" s="137" t="s">
        <v>625</v>
      </c>
      <c r="B126" s="159">
        <f t="shared" si="7"/>
        <v>0</v>
      </c>
      <c r="C126" s="130"/>
      <c r="D126" s="130"/>
      <c r="E126" s="130"/>
      <c r="F126" s="130"/>
      <c r="G126" s="130"/>
      <c r="H126" s="130"/>
    </row>
    <row r="127" spans="1:8" ht="19.5" customHeight="1">
      <c r="A127" s="137" t="s">
        <v>626</v>
      </c>
      <c r="B127" s="159">
        <f t="shared" si="7"/>
        <v>0</v>
      </c>
      <c r="C127" s="130"/>
      <c r="D127" s="130"/>
      <c r="E127" s="130"/>
      <c r="F127" s="130"/>
      <c r="G127" s="130"/>
      <c r="H127" s="130"/>
    </row>
    <row r="128" spans="1:8" ht="19.5" customHeight="1">
      <c r="A128" s="137" t="s">
        <v>632</v>
      </c>
      <c r="B128" s="159">
        <f t="shared" si="7"/>
        <v>0</v>
      </c>
      <c r="C128" s="130"/>
      <c r="D128" s="130"/>
      <c r="E128" s="130"/>
      <c r="F128" s="130"/>
      <c r="G128" s="130"/>
      <c r="H128" s="130"/>
    </row>
    <row r="129" spans="1:8" ht="19.5" customHeight="1">
      <c r="A129" s="137" t="s">
        <v>633</v>
      </c>
      <c r="B129" s="159">
        <f t="shared" si="7"/>
        <v>0</v>
      </c>
      <c r="C129" s="130"/>
      <c r="D129" s="130"/>
      <c r="E129" s="130"/>
      <c r="F129" s="130"/>
      <c r="G129" s="130"/>
      <c r="H129" s="130"/>
    </row>
    <row r="130" spans="1:8" ht="19.5" customHeight="1">
      <c r="A130" s="137" t="s">
        <v>634</v>
      </c>
      <c r="B130" s="159">
        <f t="shared" si="7"/>
        <v>0</v>
      </c>
      <c r="C130" s="130"/>
      <c r="D130" s="130"/>
      <c r="E130" s="130"/>
      <c r="F130" s="130"/>
      <c r="G130" s="130"/>
      <c r="H130" s="130"/>
    </row>
    <row r="131" spans="1:8" ht="19.5" customHeight="1">
      <c r="A131" s="137" t="s">
        <v>644</v>
      </c>
      <c r="B131" s="159">
        <f t="shared" si="7"/>
        <v>600</v>
      </c>
      <c r="C131" s="130">
        <v>600</v>
      </c>
      <c r="D131" s="130"/>
      <c r="E131" s="130"/>
      <c r="F131" s="130"/>
      <c r="G131" s="130"/>
      <c r="H131" s="130"/>
    </row>
    <row r="132" spans="1:8" ht="19.5" customHeight="1">
      <c r="A132" s="137" t="s">
        <v>645</v>
      </c>
      <c r="B132" s="159">
        <f t="shared" si="7"/>
        <v>1625</v>
      </c>
      <c r="C132" s="139">
        <f aca="true" t="shared" si="12" ref="C132:H132">SUM(C133:C138)</f>
        <v>1625</v>
      </c>
      <c r="D132" s="139">
        <f t="shared" si="12"/>
        <v>0</v>
      </c>
      <c r="E132" s="139">
        <f t="shared" si="12"/>
        <v>0</v>
      </c>
      <c r="F132" s="139">
        <f t="shared" si="12"/>
        <v>0</v>
      </c>
      <c r="G132" s="139">
        <f t="shared" si="12"/>
        <v>0</v>
      </c>
      <c r="H132" s="139">
        <f t="shared" si="12"/>
        <v>0</v>
      </c>
    </row>
    <row r="133" spans="1:8" ht="19.5" customHeight="1">
      <c r="A133" s="137" t="s">
        <v>646</v>
      </c>
      <c r="B133" s="159">
        <f t="shared" si="7"/>
        <v>681</v>
      </c>
      <c r="C133" s="130">
        <v>681</v>
      </c>
      <c r="D133" s="130"/>
      <c r="E133" s="130"/>
      <c r="F133" s="130"/>
      <c r="G133" s="130"/>
      <c r="H133" s="130"/>
    </row>
    <row r="134" spans="1:8" ht="19.5" customHeight="1">
      <c r="A134" s="137" t="s">
        <v>658</v>
      </c>
      <c r="B134" s="159">
        <f aca="true" t="shared" si="13" ref="B134:B197">SUM(C134:H134)</f>
        <v>0</v>
      </c>
      <c r="C134" s="130"/>
      <c r="D134" s="130"/>
      <c r="E134" s="130"/>
      <c r="F134" s="130"/>
      <c r="G134" s="130"/>
      <c r="H134" s="130"/>
    </row>
    <row r="135" spans="1:8" ht="19.5" customHeight="1">
      <c r="A135" s="137" t="s">
        <v>659</v>
      </c>
      <c r="B135" s="159">
        <f t="shared" si="13"/>
        <v>470</v>
      </c>
      <c r="C135" s="130">
        <v>470</v>
      </c>
      <c r="D135" s="130"/>
      <c r="E135" s="130"/>
      <c r="F135" s="130"/>
      <c r="G135" s="130"/>
      <c r="H135" s="130"/>
    </row>
    <row r="136" spans="1:8" ht="19.5" customHeight="1">
      <c r="A136" s="137" t="s">
        <v>662</v>
      </c>
      <c r="B136" s="159">
        <f t="shared" si="13"/>
        <v>471</v>
      </c>
      <c r="C136" s="130">
        <v>471</v>
      </c>
      <c r="D136" s="130"/>
      <c r="E136" s="130"/>
      <c r="F136" s="130"/>
      <c r="G136" s="130"/>
      <c r="H136" s="130"/>
    </row>
    <row r="137" spans="1:8" ht="19.5" customHeight="1">
      <c r="A137" s="137" t="s">
        <v>663</v>
      </c>
      <c r="B137" s="159">
        <f t="shared" si="13"/>
        <v>0</v>
      </c>
      <c r="C137" s="130"/>
      <c r="D137" s="130"/>
      <c r="E137" s="130"/>
      <c r="F137" s="130"/>
      <c r="G137" s="130"/>
      <c r="H137" s="130"/>
    </row>
    <row r="138" spans="1:8" ht="19.5" customHeight="1">
      <c r="A138" s="137" t="s">
        <v>664</v>
      </c>
      <c r="B138" s="159">
        <f t="shared" si="13"/>
        <v>3</v>
      </c>
      <c r="C138" s="130">
        <v>3</v>
      </c>
      <c r="D138" s="130"/>
      <c r="E138" s="130"/>
      <c r="F138" s="130"/>
      <c r="G138" s="130"/>
      <c r="H138" s="130"/>
    </row>
    <row r="139" spans="1:8" ht="19.5" customHeight="1">
      <c r="A139" s="137" t="s">
        <v>665</v>
      </c>
      <c r="B139" s="159">
        <f t="shared" si="13"/>
        <v>20227</v>
      </c>
      <c r="C139" s="139">
        <f aca="true" t="shared" si="14" ref="C139:H139">SUM(C140:C149)</f>
        <v>13356</v>
      </c>
      <c r="D139" s="139">
        <f t="shared" si="14"/>
        <v>3116</v>
      </c>
      <c r="E139" s="139">
        <f t="shared" si="14"/>
        <v>3755</v>
      </c>
      <c r="F139" s="139">
        <f t="shared" si="14"/>
        <v>0</v>
      </c>
      <c r="G139" s="139">
        <f t="shared" si="14"/>
        <v>0</v>
      </c>
      <c r="H139" s="139">
        <f t="shared" si="14"/>
        <v>0</v>
      </c>
    </row>
    <row r="140" spans="1:8" ht="19.5" customHeight="1">
      <c r="A140" s="137" t="s">
        <v>666</v>
      </c>
      <c r="B140" s="159">
        <f t="shared" si="13"/>
        <v>5517</v>
      </c>
      <c r="C140" s="130">
        <f>5265-267+252</f>
        <v>5250</v>
      </c>
      <c r="D140" s="130"/>
      <c r="E140" s="130">
        <v>267</v>
      </c>
      <c r="F140" s="130"/>
      <c r="G140" s="130"/>
      <c r="H140" s="130"/>
    </row>
    <row r="141" spans="1:8" ht="19.5" customHeight="1">
      <c r="A141" s="137" t="s">
        <v>689</v>
      </c>
      <c r="B141" s="159">
        <f t="shared" si="13"/>
        <v>3074</v>
      </c>
      <c r="C141" s="130">
        <f>3074-1469-912</f>
        <v>693</v>
      </c>
      <c r="D141" s="130">
        <v>1469</v>
      </c>
      <c r="E141" s="130">
        <v>912</v>
      </c>
      <c r="F141" s="130"/>
      <c r="G141" s="130"/>
      <c r="H141" s="130"/>
    </row>
    <row r="142" spans="1:8" ht="19.5" customHeight="1">
      <c r="A142" s="137" t="s">
        <v>714</v>
      </c>
      <c r="B142" s="159">
        <f t="shared" si="13"/>
        <v>2413</v>
      </c>
      <c r="C142" s="130">
        <f>2413-730</f>
        <v>1683</v>
      </c>
      <c r="D142" s="130"/>
      <c r="E142" s="130">
        <v>730</v>
      </c>
      <c r="F142" s="130"/>
      <c r="G142" s="130"/>
      <c r="H142" s="130"/>
    </row>
    <row r="143" spans="1:8" ht="19.5" customHeight="1">
      <c r="A143" s="137" t="s">
        <v>737</v>
      </c>
      <c r="B143" s="159">
        <f t="shared" si="13"/>
        <v>0</v>
      </c>
      <c r="C143" s="130"/>
      <c r="D143" s="130"/>
      <c r="E143" s="130"/>
      <c r="F143" s="130"/>
      <c r="G143" s="130"/>
      <c r="H143" s="130"/>
    </row>
    <row r="144" spans="1:8" ht="19.5" customHeight="1">
      <c r="A144" s="137" t="s">
        <v>745</v>
      </c>
      <c r="B144" s="159">
        <f t="shared" si="13"/>
        <v>4064</v>
      </c>
      <c r="C144" s="130">
        <v>4064</v>
      </c>
      <c r="D144" s="130"/>
      <c r="E144" s="130"/>
      <c r="F144" s="130"/>
      <c r="G144" s="130"/>
      <c r="H144" s="130"/>
    </row>
    <row r="145" spans="1:8" ht="19.5" customHeight="1">
      <c r="A145" s="137" t="s">
        <v>753</v>
      </c>
      <c r="B145" s="159">
        <f t="shared" si="13"/>
        <v>3262</v>
      </c>
      <c r="C145" s="130">
        <f>3262-1470-1606</f>
        <v>186</v>
      </c>
      <c r="D145" s="130">
        <v>1470</v>
      </c>
      <c r="E145" s="130">
        <v>1606</v>
      </c>
      <c r="F145" s="130"/>
      <c r="G145" s="130"/>
      <c r="H145" s="130"/>
    </row>
    <row r="146" spans="1:8" ht="19.5" customHeight="1">
      <c r="A146" s="137" t="s">
        <v>759</v>
      </c>
      <c r="B146" s="159">
        <f t="shared" si="13"/>
        <v>1597</v>
      </c>
      <c r="C146" s="130">
        <f>1597-170</f>
        <v>1427</v>
      </c>
      <c r="D146" s="130"/>
      <c r="E146" s="130">
        <v>170</v>
      </c>
      <c r="F146" s="130"/>
      <c r="G146" s="130"/>
      <c r="H146" s="130"/>
    </row>
    <row r="147" spans="1:8" ht="19.5" customHeight="1">
      <c r="A147" s="137" t="s">
        <v>766</v>
      </c>
      <c r="B147" s="159">
        <f t="shared" si="13"/>
        <v>300</v>
      </c>
      <c r="C147" s="130">
        <f>300-177-70</f>
        <v>53</v>
      </c>
      <c r="D147" s="130">
        <v>177</v>
      </c>
      <c r="E147" s="130">
        <v>70</v>
      </c>
      <c r="F147" s="130"/>
      <c r="G147" s="130"/>
      <c r="H147" s="130"/>
    </row>
    <row r="148" spans="1:8" ht="19.5" customHeight="1">
      <c r="A148" s="137" t="s">
        <v>773</v>
      </c>
      <c r="B148" s="159">
        <f t="shared" si="13"/>
        <v>0</v>
      </c>
      <c r="C148" s="130"/>
      <c r="D148" s="130"/>
      <c r="E148" s="130"/>
      <c r="F148" s="130"/>
      <c r="G148" s="130"/>
      <c r="H148" s="130"/>
    </row>
    <row r="149" spans="1:8" ht="19.5" customHeight="1">
      <c r="A149" s="137" t="s">
        <v>777</v>
      </c>
      <c r="B149" s="159">
        <f t="shared" si="13"/>
        <v>0</v>
      </c>
      <c r="C149" s="130"/>
      <c r="D149" s="130"/>
      <c r="E149" s="130"/>
      <c r="F149" s="130"/>
      <c r="G149" s="130"/>
      <c r="H149" s="130"/>
    </row>
    <row r="150" spans="1:8" ht="19.5" customHeight="1">
      <c r="A150" s="137" t="s">
        <v>780</v>
      </c>
      <c r="B150" s="159">
        <f t="shared" si="13"/>
        <v>1239</v>
      </c>
      <c r="C150" s="139">
        <f aca="true" t="shared" si="15" ref="C150:H150">SUM(C151:C157)</f>
        <v>380</v>
      </c>
      <c r="D150" s="139">
        <f t="shared" si="15"/>
        <v>843</v>
      </c>
      <c r="E150" s="139">
        <f t="shared" si="15"/>
        <v>16</v>
      </c>
      <c r="F150" s="139">
        <f t="shared" si="15"/>
        <v>0</v>
      </c>
      <c r="G150" s="139">
        <f t="shared" si="15"/>
        <v>0</v>
      </c>
      <c r="H150" s="139">
        <f t="shared" si="15"/>
        <v>0</v>
      </c>
    </row>
    <row r="151" spans="1:8" ht="19.5" customHeight="1">
      <c r="A151" s="137" t="s">
        <v>781</v>
      </c>
      <c r="B151" s="159">
        <f t="shared" si="13"/>
        <v>388</v>
      </c>
      <c r="C151" s="130">
        <f>388-8</f>
        <v>380</v>
      </c>
      <c r="D151" s="130"/>
      <c r="E151" s="130">
        <v>8</v>
      </c>
      <c r="F151" s="130"/>
      <c r="G151" s="130"/>
      <c r="H151" s="130"/>
    </row>
    <row r="152" spans="1:8" ht="19.5" customHeight="1">
      <c r="A152" s="137" t="s">
        <v>801</v>
      </c>
      <c r="B152" s="159">
        <f t="shared" si="13"/>
        <v>0</v>
      </c>
      <c r="C152" s="130"/>
      <c r="D152" s="130"/>
      <c r="E152" s="130"/>
      <c r="F152" s="130"/>
      <c r="G152" s="130"/>
      <c r="H152" s="130"/>
    </row>
    <row r="153" spans="1:8" ht="19.5" customHeight="1">
      <c r="A153" s="137" t="s">
        <v>808</v>
      </c>
      <c r="B153" s="159">
        <f t="shared" si="13"/>
        <v>0</v>
      </c>
      <c r="C153" s="130"/>
      <c r="D153" s="130"/>
      <c r="E153" s="130"/>
      <c r="F153" s="130"/>
      <c r="G153" s="130"/>
      <c r="H153" s="130"/>
    </row>
    <row r="154" spans="1:8" ht="19.5" customHeight="1">
      <c r="A154" s="137" t="s">
        <v>815</v>
      </c>
      <c r="B154" s="159">
        <f t="shared" si="13"/>
        <v>13</v>
      </c>
      <c r="C154" s="130">
        <f>13-5-8</f>
        <v>0</v>
      </c>
      <c r="D154" s="130">
        <v>5</v>
      </c>
      <c r="E154" s="130">
        <v>8</v>
      </c>
      <c r="F154" s="130"/>
      <c r="G154" s="130"/>
      <c r="H154" s="130"/>
    </row>
    <row r="155" spans="1:8" ht="19.5" customHeight="1">
      <c r="A155" s="137" t="s">
        <v>820</v>
      </c>
      <c r="B155" s="159">
        <f t="shared" si="13"/>
        <v>0</v>
      </c>
      <c r="C155" s="130"/>
      <c r="D155" s="130"/>
      <c r="E155" s="130"/>
      <c r="F155" s="130"/>
      <c r="G155" s="130"/>
      <c r="H155" s="130"/>
    </row>
    <row r="156" spans="1:8" ht="19.5" customHeight="1">
      <c r="A156" s="137" t="s">
        <v>823</v>
      </c>
      <c r="B156" s="159">
        <f t="shared" si="13"/>
        <v>838</v>
      </c>
      <c r="C156" s="130">
        <f>838-838</f>
        <v>0</v>
      </c>
      <c r="D156" s="130">
        <v>838</v>
      </c>
      <c r="E156" s="130"/>
      <c r="F156" s="130"/>
      <c r="G156" s="130"/>
      <c r="H156" s="130"/>
    </row>
    <row r="157" spans="1:8" ht="19.5" customHeight="1">
      <c r="A157" s="137" t="s">
        <v>828</v>
      </c>
      <c r="B157" s="159">
        <f t="shared" si="13"/>
        <v>0</v>
      </c>
      <c r="C157" s="130"/>
      <c r="D157" s="130"/>
      <c r="E157" s="130"/>
      <c r="F157" s="130"/>
      <c r="G157" s="130"/>
      <c r="H157" s="130"/>
    </row>
    <row r="158" spans="1:8" ht="19.5" customHeight="1">
      <c r="A158" s="137" t="s">
        <v>831</v>
      </c>
      <c r="B158" s="159">
        <f t="shared" si="13"/>
        <v>507</v>
      </c>
      <c r="C158" s="139">
        <f aca="true" t="shared" si="16" ref="C158:H158">SUM(C159:C166)</f>
        <v>407</v>
      </c>
      <c r="D158" s="139">
        <f t="shared" si="16"/>
        <v>0</v>
      </c>
      <c r="E158" s="139">
        <f t="shared" si="16"/>
        <v>100</v>
      </c>
      <c r="F158" s="139">
        <f t="shared" si="16"/>
        <v>0</v>
      </c>
      <c r="G158" s="139">
        <f t="shared" si="16"/>
        <v>0</v>
      </c>
      <c r="H158" s="139">
        <f t="shared" si="16"/>
        <v>0</v>
      </c>
    </row>
    <row r="159" spans="1:8" ht="19.5" customHeight="1">
      <c r="A159" s="137" t="s">
        <v>832</v>
      </c>
      <c r="B159" s="159">
        <f t="shared" si="13"/>
        <v>0</v>
      </c>
      <c r="C159" s="130"/>
      <c r="D159" s="130"/>
      <c r="E159" s="130"/>
      <c r="F159" s="130"/>
      <c r="G159" s="130"/>
      <c r="H159" s="130"/>
    </row>
    <row r="160" spans="1:8" ht="19.5" customHeight="1">
      <c r="A160" s="137" t="s">
        <v>839</v>
      </c>
      <c r="B160" s="159">
        <f t="shared" si="13"/>
        <v>0</v>
      </c>
      <c r="C160" s="130"/>
      <c r="D160" s="130"/>
      <c r="E160" s="130"/>
      <c r="F160" s="130"/>
      <c r="G160" s="130"/>
      <c r="H160" s="130"/>
    </row>
    <row r="161" spans="1:8" ht="19.5" customHeight="1">
      <c r="A161" s="137" t="s">
        <v>852</v>
      </c>
      <c r="B161" s="159">
        <f t="shared" si="13"/>
        <v>0</v>
      </c>
      <c r="C161" s="130"/>
      <c r="D161" s="130"/>
      <c r="E161" s="130"/>
      <c r="F161" s="130"/>
      <c r="G161" s="130"/>
      <c r="H161" s="130"/>
    </row>
    <row r="162" spans="1:8" ht="19.5" customHeight="1">
      <c r="A162" s="137" t="s">
        <v>854</v>
      </c>
      <c r="B162" s="159">
        <f t="shared" si="13"/>
        <v>0</v>
      </c>
      <c r="C162" s="130"/>
      <c r="D162" s="130"/>
      <c r="E162" s="130"/>
      <c r="F162" s="130"/>
      <c r="G162" s="130"/>
      <c r="H162" s="130"/>
    </row>
    <row r="163" spans="1:8" ht="19.5" customHeight="1">
      <c r="A163" s="137" t="s">
        <v>864</v>
      </c>
      <c r="B163" s="159">
        <f t="shared" si="13"/>
        <v>250</v>
      </c>
      <c r="C163" s="130">
        <v>250</v>
      </c>
      <c r="D163" s="130"/>
      <c r="E163" s="130"/>
      <c r="F163" s="130"/>
      <c r="G163" s="130"/>
      <c r="H163" s="130"/>
    </row>
    <row r="164" spans="1:8" ht="19.5" customHeight="1">
      <c r="A164" s="137" t="s">
        <v>869</v>
      </c>
      <c r="B164" s="159">
        <f t="shared" si="13"/>
        <v>0</v>
      </c>
      <c r="C164" s="130"/>
      <c r="D164" s="130"/>
      <c r="E164" s="130"/>
      <c r="F164" s="130"/>
      <c r="G164" s="130"/>
      <c r="H164" s="130"/>
    </row>
    <row r="165" spans="1:8" ht="19.5" customHeight="1">
      <c r="A165" s="137" t="s">
        <v>872</v>
      </c>
      <c r="B165" s="159">
        <f t="shared" si="13"/>
        <v>257</v>
      </c>
      <c r="C165" s="130">
        <f>257-100</f>
        <v>157</v>
      </c>
      <c r="D165" s="130"/>
      <c r="E165" s="130">
        <v>100</v>
      </c>
      <c r="F165" s="130"/>
      <c r="G165" s="130"/>
      <c r="H165" s="130"/>
    </row>
    <row r="166" spans="1:8" ht="19.5" customHeight="1">
      <c r="A166" s="137" t="s">
        <v>876</v>
      </c>
      <c r="B166" s="159">
        <f t="shared" si="13"/>
        <v>0</v>
      </c>
      <c r="C166" s="130"/>
      <c r="D166" s="130"/>
      <c r="E166" s="130"/>
      <c r="F166" s="130"/>
      <c r="G166" s="130"/>
      <c r="H166" s="130"/>
    </row>
    <row r="167" spans="1:8" ht="19.5" customHeight="1">
      <c r="A167" s="137" t="s">
        <v>883</v>
      </c>
      <c r="B167" s="159">
        <f t="shared" si="13"/>
        <v>126</v>
      </c>
      <c r="C167" s="139">
        <f aca="true" t="shared" si="17" ref="C167:H167">SUM(C168:C171)</f>
        <v>126</v>
      </c>
      <c r="D167" s="139">
        <f t="shared" si="17"/>
        <v>0</v>
      </c>
      <c r="E167" s="139">
        <f t="shared" si="17"/>
        <v>0</v>
      </c>
      <c r="F167" s="139">
        <f t="shared" si="17"/>
        <v>0</v>
      </c>
      <c r="G167" s="139">
        <f t="shared" si="17"/>
        <v>0</v>
      </c>
      <c r="H167" s="139">
        <f t="shared" si="17"/>
        <v>0</v>
      </c>
    </row>
    <row r="168" spans="1:8" ht="19.5" customHeight="1">
      <c r="A168" s="137" t="s">
        <v>884</v>
      </c>
      <c r="B168" s="159">
        <f t="shared" si="13"/>
        <v>126</v>
      </c>
      <c r="C168" s="130">
        <v>126</v>
      </c>
      <c r="D168" s="130"/>
      <c r="E168" s="130"/>
      <c r="F168" s="130"/>
      <c r="G168" s="130"/>
      <c r="H168" s="130"/>
    </row>
    <row r="169" spans="1:8" ht="19.5" customHeight="1">
      <c r="A169" s="137" t="s">
        <v>890</v>
      </c>
      <c r="B169" s="159">
        <f t="shared" si="13"/>
        <v>0</v>
      </c>
      <c r="C169" s="130"/>
      <c r="D169" s="130"/>
      <c r="E169" s="130"/>
      <c r="F169" s="130"/>
      <c r="G169" s="130"/>
      <c r="H169" s="130"/>
    </row>
    <row r="170" spans="1:8" ht="19.5" customHeight="1">
      <c r="A170" s="137" t="s">
        <v>894</v>
      </c>
      <c r="B170" s="159">
        <f t="shared" si="13"/>
        <v>0</v>
      </c>
      <c r="C170" s="130"/>
      <c r="D170" s="130"/>
      <c r="E170" s="130"/>
      <c r="F170" s="130"/>
      <c r="G170" s="130"/>
      <c r="H170" s="130"/>
    </row>
    <row r="171" spans="1:8" ht="19.5" customHeight="1">
      <c r="A171" s="137" t="s">
        <v>897</v>
      </c>
      <c r="B171" s="159">
        <f t="shared" si="13"/>
        <v>0</v>
      </c>
      <c r="C171" s="130"/>
      <c r="D171" s="130"/>
      <c r="E171" s="130"/>
      <c r="F171" s="130"/>
      <c r="G171" s="130"/>
      <c r="H171" s="130"/>
    </row>
    <row r="172" spans="1:8" ht="19.5" customHeight="1">
      <c r="A172" s="137" t="s">
        <v>900</v>
      </c>
      <c r="B172" s="159">
        <f t="shared" si="13"/>
        <v>0</v>
      </c>
      <c r="C172" s="139">
        <f aca="true" t="shared" si="18" ref="C172:H172">SUM(C173:C175)</f>
        <v>0</v>
      </c>
      <c r="D172" s="139">
        <f t="shared" si="18"/>
        <v>0</v>
      </c>
      <c r="E172" s="139">
        <f t="shared" si="18"/>
        <v>0</v>
      </c>
      <c r="F172" s="139">
        <f t="shared" si="18"/>
        <v>0</v>
      </c>
      <c r="G172" s="139">
        <f t="shared" si="18"/>
        <v>0</v>
      </c>
      <c r="H172" s="139">
        <f t="shared" si="18"/>
        <v>0</v>
      </c>
    </row>
    <row r="173" spans="1:8" ht="19.5" customHeight="1">
      <c r="A173" s="137" t="s">
        <v>901</v>
      </c>
      <c r="B173" s="159">
        <f t="shared" si="13"/>
        <v>0</v>
      </c>
      <c r="C173" s="130"/>
      <c r="D173" s="130"/>
      <c r="E173" s="130"/>
      <c r="F173" s="130"/>
      <c r="G173" s="130"/>
      <c r="H173" s="130"/>
    </row>
    <row r="174" spans="1:8" ht="19.5" customHeight="1">
      <c r="A174" s="137" t="s">
        <v>904</v>
      </c>
      <c r="B174" s="159">
        <f t="shared" si="13"/>
        <v>0</v>
      </c>
      <c r="C174" s="130"/>
      <c r="D174" s="130"/>
      <c r="E174" s="130"/>
      <c r="F174" s="130"/>
      <c r="G174" s="130"/>
      <c r="H174" s="130"/>
    </row>
    <row r="175" spans="1:8" ht="19.5" customHeight="1">
      <c r="A175" s="137" t="s">
        <v>910</v>
      </c>
      <c r="B175" s="159">
        <f t="shared" si="13"/>
        <v>0</v>
      </c>
      <c r="C175" s="130"/>
      <c r="D175" s="130"/>
      <c r="E175" s="130"/>
      <c r="F175" s="130"/>
      <c r="G175" s="130"/>
      <c r="H175" s="130"/>
    </row>
    <row r="176" spans="1:8" ht="19.5" customHeight="1">
      <c r="A176" s="137" t="s">
        <v>911</v>
      </c>
      <c r="B176" s="159">
        <f t="shared" si="13"/>
        <v>0</v>
      </c>
      <c r="C176" s="139">
        <f aca="true" t="shared" si="19" ref="C176:H176">SUM(C177:C185)</f>
        <v>0</v>
      </c>
      <c r="D176" s="139">
        <f t="shared" si="19"/>
        <v>0</v>
      </c>
      <c r="E176" s="139">
        <f t="shared" si="19"/>
        <v>0</v>
      </c>
      <c r="F176" s="139">
        <f t="shared" si="19"/>
        <v>0</v>
      </c>
      <c r="G176" s="139">
        <f t="shared" si="19"/>
        <v>0</v>
      </c>
      <c r="H176" s="139">
        <f t="shared" si="19"/>
        <v>0</v>
      </c>
    </row>
    <row r="177" spans="1:8" ht="19.5" customHeight="1">
      <c r="A177" s="137" t="s">
        <v>912</v>
      </c>
      <c r="B177" s="159">
        <f t="shared" si="13"/>
        <v>0</v>
      </c>
      <c r="C177" s="130"/>
      <c r="D177" s="130"/>
      <c r="E177" s="130"/>
      <c r="F177" s="130"/>
      <c r="G177" s="130"/>
      <c r="H177" s="130"/>
    </row>
    <row r="178" spans="1:8" ht="19.5" customHeight="1">
      <c r="A178" s="137" t="s">
        <v>913</v>
      </c>
      <c r="B178" s="159">
        <f t="shared" si="13"/>
        <v>0</v>
      </c>
      <c r="C178" s="130"/>
      <c r="D178" s="130"/>
      <c r="E178" s="130"/>
      <c r="F178" s="130"/>
      <c r="G178" s="130"/>
      <c r="H178" s="130"/>
    </row>
    <row r="179" spans="1:8" ht="19.5" customHeight="1">
      <c r="A179" s="137" t="s">
        <v>914</v>
      </c>
      <c r="B179" s="159">
        <f t="shared" si="13"/>
        <v>0</v>
      </c>
      <c r="C179" s="130"/>
      <c r="D179" s="130"/>
      <c r="E179" s="130"/>
      <c r="F179" s="130"/>
      <c r="G179" s="130"/>
      <c r="H179" s="130"/>
    </row>
    <row r="180" spans="1:8" ht="19.5" customHeight="1">
      <c r="A180" s="137" t="s">
        <v>915</v>
      </c>
      <c r="B180" s="159">
        <f t="shared" si="13"/>
        <v>0</v>
      </c>
      <c r="C180" s="130"/>
      <c r="D180" s="130"/>
      <c r="E180" s="130"/>
      <c r="F180" s="130"/>
      <c r="G180" s="130"/>
      <c r="H180" s="130"/>
    </row>
    <row r="181" spans="1:8" ht="19.5" customHeight="1">
      <c r="A181" s="137" t="s">
        <v>916</v>
      </c>
      <c r="B181" s="159">
        <f t="shared" si="13"/>
        <v>0</v>
      </c>
      <c r="C181" s="130"/>
      <c r="D181" s="130"/>
      <c r="E181" s="130"/>
      <c r="F181" s="130"/>
      <c r="G181" s="130"/>
      <c r="H181" s="130"/>
    </row>
    <row r="182" spans="1:8" ht="19.5" customHeight="1">
      <c r="A182" s="137" t="s">
        <v>666</v>
      </c>
      <c r="B182" s="159">
        <f t="shared" si="13"/>
        <v>0</v>
      </c>
      <c r="C182" s="130"/>
      <c r="D182" s="130"/>
      <c r="E182" s="130"/>
      <c r="F182" s="130"/>
      <c r="G182" s="130"/>
      <c r="H182" s="130"/>
    </row>
    <row r="183" spans="1:8" ht="19.5" customHeight="1">
      <c r="A183" s="137" t="s">
        <v>917</v>
      </c>
      <c r="B183" s="159">
        <f t="shared" si="13"/>
        <v>0</v>
      </c>
      <c r="C183" s="130"/>
      <c r="D183" s="130"/>
      <c r="E183" s="130"/>
      <c r="F183" s="130"/>
      <c r="G183" s="130"/>
      <c r="H183" s="130"/>
    </row>
    <row r="184" spans="1:8" ht="19.5" customHeight="1">
      <c r="A184" s="137" t="s">
        <v>918</v>
      </c>
      <c r="B184" s="159">
        <f t="shared" si="13"/>
        <v>0</v>
      </c>
      <c r="C184" s="130"/>
      <c r="D184" s="130"/>
      <c r="E184" s="130"/>
      <c r="F184" s="130"/>
      <c r="G184" s="130"/>
      <c r="H184" s="130"/>
    </row>
    <row r="185" spans="1:8" ht="19.5" customHeight="1">
      <c r="A185" s="137" t="s">
        <v>919</v>
      </c>
      <c r="B185" s="159">
        <f t="shared" si="13"/>
        <v>0</v>
      </c>
      <c r="C185" s="130"/>
      <c r="D185" s="130"/>
      <c r="E185" s="130"/>
      <c r="F185" s="130"/>
      <c r="G185" s="130"/>
      <c r="H185" s="130"/>
    </row>
    <row r="186" spans="1:8" ht="19.5" customHeight="1">
      <c r="A186" s="137" t="s">
        <v>920</v>
      </c>
      <c r="B186" s="159">
        <f t="shared" si="13"/>
        <v>1165</v>
      </c>
      <c r="C186" s="139">
        <f aca="true" t="shared" si="20" ref="C186:H186">SUM(C187:C192)</f>
        <v>498</v>
      </c>
      <c r="D186" s="139">
        <f t="shared" si="20"/>
        <v>163</v>
      </c>
      <c r="E186" s="139">
        <f t="shared" si="20"/>
        <v>504</v>
      </c>
      <c r="F186" s="139">
        <f t="shared" si="20"/>
        <v>0</v>
      </c>
      <c r="G186" s="139">
        <f t="shared" si="20"/>
        <v>0</v>
      </c>
      <c r="H186" s="139">
        <f t="shared" si="20"/>
        <v>0</v>
      </c>
    </row>
    <row r="187" spans="1:8" ht="19.5" customHeight="1">
      <c r="A187" s="137" t="s">
        <v>921</v>
      </c>
      <c r="B187" s="159">
        <f t="shared" si="13"/>
        <v>1022</v>
      </c>
      <c r="C187" s="130">
        <f>1022-163-504</f>
        <v>355</v>
      </c>
      <c r="D187" s="130">
        <v>163</v>
      </c>
      <c r="E187" s="130">
        <v>504</v>
      </c>
      <c r="F187" s="130"/>
      <c r="G187" s="130"/>
      <c r="H187" s="130"/>
    </row>
    <row r="188" spans="1:8" ht="19.5" customHeight="1">
      <c r="A188" s="137" t="s">
        <v>937</v>
      </c>
      <c r="B188" s="159">
        <f t="shared" si="13"/>
        <v>0</v>
      </c>
      <c r="C188" s="130"/>
      <c r="D188" s="130"/>
      <c r="E188" s="130"/>
      <c r="F188" s="130"/>
      <c r="G188" s="130"/>
      <c r="H188" s="130"/>
    </row>
    <row r="189" spans="1:8" ht="19.5" customHeight="1">
      <c r="A189" s="137" t="s">
        <v>953</v>
      </c>
      <c r="B189" s="159">
        <f t="shared" si="13"/>
        <v>0</v>
      </c>
      <c r="C189" s="130"/>
      <c r="D189" s="130"/>
      <c r="E189" s="130"/>
      <c r="F189" s="130"/>
      <c r="G189" s="130"/>
      <c r="H189" s="130"/>
    </row>
    <row r="190" spans="1:8" ht="19.5" customHeight="1">
      <c r="A190" s="137" t="s">
        <v>958</v>
      </c>
      <c r="B190" s="159">
        <f t="shared" si="13"/>
        <v>101</v>
      </c>
      <c r="C190" s="130">
        <v>101</v>
      </c>
      <c r="D190" s="130"/>
      <c r="E190" s="130"/>
      <c r="F190" s="130"/>
      <c r="G190" s="130"/>
      <c r="H190" s="130"/>
    </row>
    <row r="191" spans="1:8" ht="19.5" customHeight="1">
      <c r="A191" s="137" t="s">
        <v>968</v>
      </c>
      <c r="B191" s="159">
        <f t="shared" si="13"/>
        <v>42</v>
      </c>
      <c r="C191" s="130">
        <v>42</v>
      </c>
      <c r="D191" s="130"/>
      <c r="E191" s="130"/>
      <c r="F191" s="130"/>
      <c r="G191" s="130"/>
      <c r="H191" s="130"/>
    </row>
    <row r="192" spans="1:8" ht="19.5" customHeight="1">
      <c r="A192" s="137" t="s">
        <v>980</v>
      </c>
      <c r="B192" s="159">
        <f t="shared" si="13"/>
        <v>0</v>
      </c>
      <c r="C192" s="130"/>
      <c r="D192" s="130"/>
      <c r="E192" s="130"/>
      <c r="F192" s="130"/>
      <c r="G192" s="130"/>
      <c r="H192" s="130"/>
    </row>
    <row r="193" spans="1:8" ht="19.5" customHeight="1">
      <c r="A193" s="137" t="s">
        <v>981</v>
      </c>
      <c r="B193" s="159">
        <f t="shared" si="13"/>
        <v>4059</v>
      </c>
      <c r="C193" s="139">
        <f aca="true" t="shared" si="21" ref="C193:H193">SUM(C194:C196)</f>
        <v>3098</v>
      </c>
      <c r="D193" s="139">
        <f t="shared" si="21"/>
        <v>878</v>
      </c>
      <c r="E193" s="139">
        <f t="shared" si="21"/>
        <v>83</v>
      </c>
      <c r="F193" s="139">
        <f t="shared" si="21"/>
        <v>0</v>
      </c>
      <c r="G193" s="139">
        <f t="shared" si="21"/>
        <v>0</v>
      </c>
      <c r="H193" s="139">
        <f t="shared" si="21"/>
        <v>0</v>
      </c>
    </row>
    <row r="194" spans="1:8" ht="19.5" customHeight="1">
      <c r="A194" s="137" t="s">
        <v>982</v>
      </c>
      <c r="B194" s="159">
        <f t="shared" si="13"/>
        <v>1179</v>
      </c>
      <c r="C194" s="130">
        <f>1179-878-83</f>
        <v>218</v>
      </c>
      <c r="D194" s="130">
        <v>878</v>
      </c>
      <c r="E194" s="130">
        <v>83</v>
      </c>
      <c r="F194" s="130"/>
      <c r="G194" s="130"/>
      <c r="H194" s="130"/>
    </row>
    <row r="195" spans="1:8" ht="19.5" customHeight="1">
      <c r="A195" s="137" t="s">
        <v>991</v>
      </c>
      <c r="B195" s="159">
        <f t="shared" si="13"/>
        <v>2880</v>
      </c>
      <c r="C195" s="130">
        <v>2880</v>
      </c>
      <c r="D195" s="130"/>
      <c r="E195" s="130"/>
      <c r="F195" s="130"/>
      <c r="G195" s="130"/>
      <c r="H195" s="130"/>
    </row>
    <row r="196" spans="1:8" ht="19.5" customHeight="1">
      <c r="A196" s="137" t="s">
        <v>995</v>
      </c>
      <c r="B196" s="159">
        <f t="shared" si="13"/>
        <v>0</v>
      </c>
      <c r="C196" s="130"/>
      <c r="D196" s="130"/>
      <c r="E196" s="130"/>
      <c r="F196" s="130"/>
      <c r="G196" s="130"/>
      <c r="H196" s="130"/>
    </row>
    <row r="197" spans="1:8" ht="19.5" customHeight="1">
      <c r="A197" s="137" t="s">
        <v>999</v>
      </c>
      <c r="B197" s="159">
        <f t="shared" si="13"/>
        <v>198</v>
      </c>
      <c r="C197" s="139">
        <f aca="true" t="shared" si="22" ref="C197:H197">SUM(C198:C202)</f>
        <v>193</v>
      </c>
      <c r="D197" s="139">
        <f t="shared" si="22"/>
        <v>0</v>
      </c>
      <c r="E197" s="139">
        <f t="shared" si="22"/>
        <v>5</v>
      </c>
      <c r="F197" s="139">
        <f t="shared" si="22"/>
        <v>0</v>
      </c>
      <c r="G197" s="139">
        <f t="shared" si="22"/>
        <v>0</v>
      </c>
      <c r="H197" s="139">
        <f t="shared" si="22"/>
        <v>0</v>
      </c>
    </row>
    <row r="198" spans="1:8" ht="19.5" customHeight="1">
      <c r="A198" s="137" t="s">
        <v>1000</v>
      </c>
      <c r="B198" s="159">
        <f aca="true" t="shared" si="23" ref="B198:B209">SUM(C198:H198)</f>
        <v>193</v>
      </c>
      <c r="C198" s="130">
        <v>193</v>
      </c>
      <c r="D198" s="130"/>
      <c r="E198" s="130"/>
      <c r="F198" s="130"/>
      <c r="G198" s="130"/>
      <c r="H198" s="130"/>
    </row>
    <row r="199" spans="1:8" ht="19.5" customHeight="1">
      <c r="A199" s="137" t="s">
        <v>1011</v>
      </c>
      <c r="B199" s="159">
        <f t="shared" si="23"/>
        <v>5</v>
      </c>
      <c r="C199" s="130">
        <f>5-5</f>
        <v>0</v>
      </c>
      <c r="D199" s="130"/>
      <c r="E199" s="130">
        <v>5</v>
      </c>
      <c r="F199" s="130"/>
      <c r="G199" s="130"/>
      <c r="H199" s="130"/>
    </row>
    <row r="200" spans="1:8" ht="19.5" customHeight="1">
      <c r="A200" s="137" t="s">
        <v>1021</v>
      </c>
      <c r="B200" s="159">
        <f t="shared" si="23"/>
        <v>0</v>
      </c>
      <c r="C200" s="130"/>
      <c r="D200" s="130"/>
      <c r="E200" s="130"/>
      <c r="F200" s="130"/>
      <c r="G200" s="130"/>
      <c r="H200" s="130"/>
    </row>
    <row r="201" spans="1:8" ht="19.5" customHeight="1">
      <c r="A201" s="137" t="s">
        <v>1026</v>
      </c>
      <c r="B201" s="159">
        <f t="shared" si="23"/>
        <v>0</v>
      </c>
      <c r="C201" s="130"/>
      <c r="D201" s="130"/>
      <c r="E201" s="130"/>
      <c r="F201" s="130"/>
      <c r="G201" s="130"/>
      <c r="H201" s="130"/>
    </row>
    <row r="202" spans="1:8" ht="19.5" customHeight="1">
      <c r="A202" s="137" t="s">
        <v>1032</v>
      </c>
      <c r="B202" s="159">
        <f t="shared" si="23"/>
        <v>0</v>
      </c>
      <c r="C202" s="130"/>
      <c r="D202" s="130"/>
      <c r="E202" s="130"/>
      <c r="F202" s="130"/>
      <c r="G202" s="130"/>
      <c r="H202" s="130"/>
    </row>
    <row r="203" spans="1:8" ht="19.5" customHeight="1">
      <c r="A203" s="137" t="s">
        <v>1044</v>
      </c>
      <c r="B203" s="159">
        <f t="shared" si="23"/>
        <v>900</v>
      </c>
      <c r="C203" s="130">
        <v>900</v>
      </c>
      <c r="D203" s="130"/>
      <c r="E203" s="130"/>
      <c r="F203" s="130"/>
      <c r="G203" s="130"/>
      <c r="H203" s="130"/>
    </row>
    <row r="204" spans="1:8" ht="19.5" customHeight="1">
      <c r="A204" s="137" t="s">
        <v>1045</v>
      </c>
      <c r="B204" s="159">
        <f t="shared" si="23"/>
        <v>654</v>
      </c>
      <c r="C204" s="139">
        <f aca="true" t="shared" si="24" ref="C204:H204">C205</f>
        <v>654</v>
      </c>
      <c r="D204" s="139">
        <f t="shared" si="24"/>
        <v>0</v>
      </c>
      <c r="E204" s="139">
        <f t="shared" si="24"/>
        <v>0</v>
      </c>
      <c r="F204" s="139">
        <f t="shared" si="24"/>
        <v>0</v>
      </c>
      <c r="G204" s="139">
        <f t="shared" si="24"/>
        <v>0</v>
      </c>
      <c r="H204" s="139">
        <f t="shared" si="24"/>
        <v>0</v>
      </c>
    </row>
    <row r="205" spans="1:8" ht="19.5" customHeight="1">
      <c r="A205" s="137" t="s">
        <v>1046</v>
      </c>
      <c r="B205" s="159">
        <f t="shared" si="23"/>
        <v>654</v>
      </c>
      <c r="C205" s="130">
        <v>654</v>
      </c>
      <c r="D205" s="130"/>
      <c r="E205" s="130"/>
      <c r="F205" s="130"/>
      <c r="G205" s="130"/>
      <c r="H205" s="130"/>
    </row>
    <row r="206" spans="1:8" ht="19.5" customHeight="1">
      <c r="A206" s="137" t="s">
        <v>1051</v>
      </c>
      <c r="B206" s="159">
        <f t="shared" si="23"/>
        <v>0</v>
      </c>
      <c r="C206" s="130"/>
      <c r="D206" s="130"/>
      <c r="E206" s="130"/>
      <c r="F206" s="130"/>
      <c r="G206" s="130"/>
      <c r="H206" s="130"/>
    </row>
    <row r="207" spans="1:8" ht="19.5" customHeight="1">
      <c r="A207" s="137" t="s">
        <v>1053</v>
      </c>
      <c r="B207" s="159">
        <f t="shared" si="23"/>
        <v>751</v>
      </c>
      <c r="C207" s="139">
        <f aca="true" t="shared" si="25" ref="C207:H207">SUM(C208:C209)</f>
        <v>751</v>
      </c>
      <c r="D207" s="139">
        <f t="shared" si="25"/>
        <v>0</v>
      </c>
      <c r="E207" s="139">
        <f t="shared" si="25"/>
        <v>0</v>
      </c>
      <c r="F207" s="139">
        <f t="shared" si="25"/>
        <v>0</v>
      </c>
      <c r="G207" s="139">
        <f t="shared" si="25"/>
        <v>0</v>
      </c>
      <c r="H207" s="139">
        <f t="shared" si="25"/>
        <v>0</v>
      </c>
    </row>
    <row r="208" spans="1:8" ht="19.5" customHeight="1">
      <c r="A208" s="137" t="s">
        <v>1141</v>
      </c>
      <c r="B208" s="159">
        <f t="shared" si="23"/>
        <v>751</v>
      </c>
      <c r="C208" s="130">
        <v>751</v>
      </c>
      <c r="D208" s="130"/>
      <c r="E208" s="130"/>
      <c r="F208" s="130"/>
      <c r="G208" s="130"/>
      <c r="H208" s="130"/>
    </row>
    <row r="209" spans="1:8" ht="19.5" customHeight="1">
      <c r="A209" s="137" t="s">
        <v>919</v>
      </c>
      <c r="B209" s="159">
        <f t="shared" si="23"/>
        <v>0</v>
      </c>
      <c r="C209" s="130"/>
      <c r="D209" s="130"/>
      <c r="E209" s="130"/>
      <c r="F209" s="130"/>
      <c r="G209" s="130"/>
      <c r="H209" s="130"/>
    </row>
    <row r="210" spans="1:8" ht="19.5" customHeight="1">
      <c r="A210" s="137"/>
      <c r="B210" s="130"/>
      <c r="C210" s="130"/>
      <c r="D210" s="130"/>
      <c r="E210" s="130"/>
      <c r="F210" s="130"/>
      <c r="G210" s="130"/>
      <c r="H210" s="130"/>
    </row>
    <row r="211" spans="1:8" ht="19.5" customHeight="1">
      <c r="A211" s="137"/>
      <c r="B211" s="130"/>
      <c r="C211" s="130"/>
      <c r="D211" s="130"/>
      <c r="E211" s="130"/>
      <c r="F211" s="130"/>
      <c r="G211" s="130"/>
      <c r="H211" s="130"/>
    </row>
    <row r="212" spans="1:8" ht="19.5" customHeight="1">
      <c r="A212" s="137"/>
      <c r="B212" s="130"/>
      <c r="C212" s="130"/>
      <c r="D212" s="130"/>
      <c r="E212" s="130"/>
      <c r="F212" s="130"/>
      <c r="G212" s="130"/>
      <c r="H212" s="130"/>
    </row>
    <row r="213" spans="1:8" ht="19.5" customHeight="1">
      <c r="A213" s="130" t="s">
        <v>1056</v>
      </c>
      <c r="B213" s="139">
        <f aca="true" t="shared" si="26" ref="B213:H213">SUM(B6,B35,B38,B41,B54,B65,B76,B82,B103,B116,B132,B139,B150,B158,B167,B172,B176,B186,B193,B197,B203,B204,B206,B207)</f>
        <v>103018</v>
      </c>
      <c r="C213" s="139">
        <f t="shared" si="26"/>
        <v>73913</v>
      </c>
      <c r="D213" s="139">
        <f t="shared" si="26"/>
        <v>12338</v>
      </c>
      <c r="E213" s="139">
        <f t="shared" si="26"/>
        <v>14056</v>
      </c>
      <c r="F213" s="139">
        <f t="shared" si="26"/>
        <v>0</v>
      </c>
      <c r="G213" s="139">
        <f t="shared" si="26"/>
        <v>0</v>
      </c>
      <c r="H213" s="139">
        <f t="shared" si="26"/>
        <v>2711</v>
      </c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" right="0.47" top="0.47" bottom="0.35" header="0.12" footer="0.1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workbookViewId="0" topLeftCell="A1">
      <pane xSplit="1" ySplit="4" topLeftCell="B5" activePane="bottomRight" state="frozen"/>
      <selection pane="bottomRight" activeCell="A2" sqref="A2:K2"/>
    </sheetView>
  </sheetViews>
  <sheetFormatPr defaultColWidth="12" defaultRowHeight="11.25"/>
  <cols>
    <col min="1" max="1" width="47.33203125" style="79" customWidth="1"/>
    <col min="2" max="2" width="17.5" style="79" customWidth="1"/>
    <col min="3" max="3" width="14" style="79" customWidth="1"/>
    <col min="4" max="4" width="13.83203125" style="79" customWidth="1"/>
    <col min="5" max="5" width="19" style="79" customWidth="1"/>
    <col min="6" max="6" width="18.83203125" style="79" customWidth="1"/>
    <col min="7" max="7" width="10.5" style="79" customWidth="1"/>
    <col min="8" max="8" width="10.83203125" style="79" customWidth="1"/>
    <col min="9" max="9" width="14.33203125" style="79" customWidth="1"/>
    <col min="10" max="10" width="18" style="79" customWidth="1"/>
    <col min="11" max="11" width="13.33203125" style="79" customWidth="1"/>
    <col min="12" max="16384" width="12" style="79" customWidth="1"/>
  </cols>
  <sheetData>
    <row r="1" ht="14.25">
      <c r="A1" s="126"/>
    </row>
    <row r="2" spans="1:11" ht="21" customHeight="1">
      <c r="A2" s="103" t="s">
        <v>1142</v>
      </c>
      <c r="B2" s="103"/>
      <c r="C2" s="103"/>
      <c r="D2" s="103"/>
      <c r="E2" s="103"/>
      <c r="F2" s="103"/>
      <c r="G2" s="103"/>
      <c r="H2" s="153"/>
      <c r="I2" s="153"/>
      <c r="J2" s="153"/>
      <c r="K2" s="153"/>
    </row>
    <row r="3" spans="1:11" ht="20.25" customHeight="1">
      <c r="A3" s="126"/>
      <c r="C3" s="154"/>
      <c r="D3" s="154"/>
      <c r="K3" s="156" t="s">
        <v>1143</v>
      </c>
    </row>
    <row r="4" spans="1:11" s="125" customFormat="1" ht="31.5" customHeight="1">
      <c r="A4" s="146" t="s">
        <v>35</v>
      </c>
      <c r="B4" s="146" t="s">
        <v>1144</v>
      </c>
      <c r="C4" s="122" t="s">
        <v>1145</v>
      </c>
      <c r="D4" s="122" t="s">
        <v>1146</v>
      </c>
      <c r="E4" s="122" t="s">
        <v>1147</v>
      </c>
      <c r="F4" s="122" t="s">
        <v>1148</v>
      </c>
      <c r="G4" s="122" t="s">
        <v>1064</v>
      </c>
      <c r="H4" s="122" t="s">
        <v>1149</v>
      </c>
      <c r="I4" s="122" t="s">
        <v>1150</v>
      </c>
      <c r="J4" s="122" t="s">
        <v>1151</v>
      </c>
      <c r="K4" s="122" t="s">
        <v>1152</v>
      </c>
    </row>
    <row r="5" spans="1:11" ht="19.5" customHeight="1">
      <c r="A5" s="116" t="s">
        <v>1153</v>
      </c>
      <c r="B5" s="114">
        <f aca="true" t="shared" si="0" ref="B5:B28">SUM(C5:K5)</f>
        <v>9919</v>
      </c>
      <c r="C5" s="116">
        <v>6519</v>
      </c>
      <c r="D5" s="116">
        <f>254+2100</f>
        <v>2354</v>
      </c>
      <c r="E5" s="116">
        <v>331</v>
      </c>
      <c r="F5" s="116"/>
      <c r="G5" s="116"/>
      <c r="H5" s="116"/>
      <c r="I5" s="116"/>
      <c r="J5" s="116">
        <f>128+587</f>
        <v>715</v>
      </c>
      <c r="K5" s="116"/>
    </row>
    <row r="6" spans="1:11" ht="19.5" customHeight="1">
      <c r="A6" s="116" t="s">
        <v>181</v>
      </c>
      <c r="B6" s="114">
        <f t="shared" si="0"/>
        <v>0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9.5" customHeight="1">
      <c r="A7" s="116" t="s">
        <v>184</v>
      </c>
      <c r="B7" s="114">
        <f t="shared" si="0"/>
        <v>0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9.5" customHeight="1">
      <c r="A8" s="116" t="s">
        <v>195</v>
      </c>
      <c r="B8" s="114">
        <f t="shared" si="0"/>
        <v>4454</v>
      </c>
      <c r="C8" s="116">
        <v>1923</v>
      </c>
      <c r="D8" s="116">
        <f>38+1025</f>
        <v>1063</v>
      </c>
      <c r="E8" s="116">
        <v>73</v>
      </c>
      <c r="F8" s="116"/>
      <c r="G8" s="116"/>
      <c r="H8" s="116"/>
      <c r="I8" s="116"/>
      <c r="J8" s="116">
        <f>1127+76+192</f>
        <v>1395</v>
      </c>
      <c r="K8" s="116"/>
    </row>
    <row r="9" spans="1:11" ht="19.5" customHeight="1">
      <c r="A9" s="116" t="s">
        <v>277</v>
      </c>
      <c r="B9" s="114">
        <f t="shared" si="0"/>
        <v>20799</v>
      </c>
      <c r="C9" s="116">
        <v>10544</v>
      </c>
      <c r="D9" s="116">
        <f>295+2050+341</f>
        <v>2686</v>
      </c>
      <c r="E9" s="116">
        <v>452</v>
      </c>
      <c r="F9" s="116"/>
      <c r="G9" s="116"/>
      <c r="H9" s="116"/>
      <c r="I9" s="116"/>
      <c r="J9" s="116">
        <v>7117</v>
      </c>
      <c r="K9" s="116"/>
    </row>
    <row r="10" spans="1:11" ht="19.5" customHeight="1">
      <c r="A10" s="116" t="s">
        <v>328</v>
      </c>
      <c r="B10" s="114">
        <f t="shared" si="0"/>
        <v>135</v>
      </c>
      <c r="C10" s="116">
        <v>102</v>
      </c>
      <c r="D10" s="116">
        <v>2</v>
      </c>
      <c r="E10" s="116">
        <v>2</v>
      </c>
      <c r="F10" s="116"/>
      <c r="G10" s="116"/>
      <c r="H10" s="116"/>
      <c r="I10" s="116"/>
      <c r="J10" s="116">
        <v>29</v>
      </c>
      <c r="K10" s="116"/>
    </row>
    <row r="11" spans="1:11" ht="19.5" customHeight="1">
      <c r="A11" s="116" t="s">
        <v>377</v>
      </c>
      <c r="B11" s="114">
        <f t="shared" si="0"/>
        <v>1744</v>
      </c>
      <c r="C11" s="116">
        <v>788</v>
      </c>
      <c r="D11" s="116">
        <f>11+245</f>
        <v>256</v>
      </c>
      <c r="E11" s="116">
        <v>31</v>
      </c>
      <c r="F11" s="116"/>
      <c r="G11" s="116"/>
      <c r="H11" s="116"/>
      <c r="I11" s="116"/>
      <c r="J11" s="116">
        <v>669</v>
      </c>
      <c r="K11" s="116"/>
    </row>
    <row r="12" spans="1:11" ht="19.5" customHeight="1">
      <c r="A12" s="116" t="s">
        <v>414</v>
      </c>
      <c r="B12" s="114">
        <f t="shared" si="0"/>
        <v>22937</v>
      </c>
      <c r="C12" s="116">
        <v>1201</v>
      </c>
      <c r="D12" s="116">
        <f>39+425</f>
        <v>464</v>
      </c>
      <c r="E12" s="116">
        <f>13721+4000+1324</f>
        <v>19045</v>
      </c>
      <c r="F12" s="116"/>
      <c r="G12" s="116"/>
      <c r="H12" s="116"/>
      <c r="I12" s="116"/>
      <c r="J12" s="116">
        <v>2227</v>
      </c>
      <c r="K12" s="116"/>
    </row>
    <row r="13" spans="1:11" ht="19.5" customHeight="1">
      <c r="A13" s="116" t="s">
        <v>517</v>
      </c>
      <c r="B13" s="114">
        <f t="shared" si="0"/>
        <v>9618</v>
      </c>
      <c r="C13" s="116">
        <v>2954</v>
      </c>
      <c r="D13" s="116">
        <f>39+980</f>
        <v>1019</v>
      </c>
      <c r="E13" s="116">
        <f>128+4200</f>
        <v>4328</v>
      </c>
      <c r="F13" s="116"/>
      <c r="G13" s="116"/>
      <c r="H13" s="116"/>
      <c r="I13" s="116"/>
      <c r="J13" s="116">
        <v>1317</v>
      </c>
      <c r="K13" s="116"/>
    </row>
    <row r="14" spans="1:11" ht="19.5" customHeight="1">
      <c r="A14" s="116" t="s">
        <v>581</v>
      </c>
      <c r="B14" s="114">
        <f t="shared" si="0"/>
        <v>1961</v>
      </c>
      <c r="C14" s="116">
        <v>134</v>
      </c>
      <c r="D14" s="116">
        <f>3+470</f>
        <v>473</v>
      </c>
      <c r="E14" s="116">
        <f>5+420</f>
        <v>425</v>
      </c>
      <c r="F14" s="116"/>
      <c r="G14" s="116"/>
      <c r="H14" s="116"/>
      <c r="I14" s="116"/>
      <c r="J14" s="116">
        <f>1349-420</f>
        <v>929</v>
      </c>
      <c r="K14" s="116"/>
    </row>
    <row r="15" spans="1:11" ht="19.5" customHeight="1">
      <c r="A15" s="116" t="s">
        <v>645</v>
      </c>
      <c r="B15" s="114">
        <f t="shared" si="0"/>
        <v>1625</v>
      </c>
      <c r="C15" s="116">
        <v>523</v>
      </c>
      <c r="D15" s="116">
        <f>14+350</f>
        <v>364</v>
      </c>
      <c r="E15" s="116">
        <f>17+90</f>
        <v>107</v>
      </c>
      <c r="F15" s="116"/>
      <c r="G15" s="116"/>
      <c r="H15" s="116"/>
      <c r="I15" s="116"/>
      <c r="J15" s="116">
        <v>631</v>
      </c>
      <c r="K15" s="116"/>
    </row>
    <row r="16" spans="1:11" ht="19.5" customHeight="1">
      <c r="A16" s="116" t="s">
        <v>665</v>
      </c>
      <c r="B16" s="114">
        <f t="shared" si="0"/>
        <v>20227</v>
      </c>
      <c r="C16" s="116">
        <v>3305</v>
      </c>
      <c r="D16" s="116">
        <f>71+620</f>
        <v>691</v>
      </c>
      <c r="E16" s="116">
        <f>140+300</f>
        <v>440</v>
      </c>
      <c r="F16" s="116"/>
      <c r="G16" s="116"/>
      <c r="H16" s="116"/>
      <c r="I16" s="116"/>
      <c r="J16" s="116">
        <f>15539+252</f>
        <v>15791</v>
      </c>
      <c r="K16" s="116"/>
    </row>
    <row r="17" spans="1:11" ht="19.5" customHeight="1">
      <c r="A17" s="116" t="s">
        <v>780</v>
      </c>
      <c r="B17" s="114">
        <f t="shared" si="0"/>
        <v>1239</v>
      </c>
      <c r="C17" s="116">
        <v>148</v>
      </c>
      <c r="D17" s="116">
        <f>2+205</f>
        <v>207</v>
      </c>
      <c r="E17" s="116">
        <v>6</v>
      </c>
      <c r="F17" s="116"/>
      <c r="G17" s="116"/>
      <c r="H17" s="116"/>
      <c r="I17" s="116"/>
      <c r="J17" s="116">
        <v>878</v>
      </c>
      <c r="K17" s="116"/>
    </row>
    <row r="18" spans="1:11" ht="19.5" customHeight="1">
      <c r="A18" s="155" t="s">
        <v>831</v>
      </c>
      <c r="B18" s="114">
        <f t="shared" si="0"/>
        <v>507</v>
      </c>
      <c r="C18" s="116">
        <v>238</v>
      </c>
      <c r="D18" s="116">
        <f>8+90</f>
        <v>98</v>
      </c>
      <c r="E18" s="116">
        <v>9</v>
      </c>
      <c r="F18" s="116"/>
      <c r="G18" s="116"/>
      <c r="H18" s="116"/>
      <c r="I18" s="116"/>
      <c r="J18" s="116">
        <v>162</v>
      </c>
      <c r="K18" s="116"/>
    </row>
    <row r="19" spans="1:11" ht="19.5" customHeight="1">
      <c r="A19" s="155" t="s">
        <v>883</v>
      </c>
      <c r="B19" s="114">
        <f t="shared" si="0"/>
        <v>126</v>
      </c>
      <c r="C19" s="116">
        <v>117</v>
      </c>
      <c r="D19" s="116">
        <f>3+2</f>
        <v>5</v>
      </c>
      <c r="E19" s="116">
        <v>4</v>
      </c>
      <c r="F19" s="116"/>
      <c r="G19" s="116"/>
      <c r="H19" s="116"/>
      <c r="I19" s="116"/>
      <c r="J19" s="116"/>
      <c r="K19" s="116"/>
    </row>
    <row r="20" spans="1:11" ht="19.5" customHeight="1">
      <c r="A20" s="117" t="s">
        <v>900</v>
      </c>
      <c r="B20" s="114">
        <f t="shared" si="0"/>
        <v>0</v>
      </c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9.5" customHeight="1">
      <c r="A21" s="155" t="s">
        <v>911</v>
      </c>
      <c r="B21" s="114">
        <f t="shared" si="0"/>
        <v>0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9.5" customHeight="1">
      <c r="A22" s="155" t="s">
        <v>920</v>
      </c>
      <c r="B22" s="114">
        <f t="shared" si="0"/>
        <v>1165</v>
      </c>
      <c r="C22" s="116">
        <v>382</v>
      </c>
      <c r="D22" s="116">
        <f>10+92</f>
        <v>102</v>
      </c>
      <c r="E22" s="116">
        <v>18</v>
      </c>
      <c r="F22" s="116"/>
      <c r="G22" s="116"/>
      <c r="H22" s="116"/>
      <c r="I22" s="116"/>
      <c r="J22" s="116">
        <v>663</v>
      </c>
      <c r="K22" s="116"/>
    </row>
    <row r="23" spans="1:11" ht="19.5" customHeight="1">
      <c r="A23" s="155" t="s">
        <v>981</v>
      </c>
      <c r="B23" s="114">
        <f t="shared" si="0"/>
        <v>4059</v>
      </c>
      <c r="C23" s="116"/>
      <c r="D23" s="116"/>
      <c r="E23" s="116">
        <f>570+2880</f>
        <v>3450</v>
      </c>
      <c r="F23" s="116"/>
      <c r="G23" s="116"/>
      <c r="H23" s="116"/>
      <c r="I23" s="116"/>
      <c r="J23" s="116">
        <f>4059-3450</f>
        <v>609</v>
      </c>
      <c r="K23" s="116"/>
    </row>
    <row r="24" spans="1:11" ht="19.5" customHeight="1">
      <c r="A24" s="155" t="s">
        <v>999</v>
      </c>
      <c r="B24" s="114">
        <f t="shared" si="0"/>
        <v>198</v>
      </c>
      <c r="C24" s="116">
        <v>107</v>
      </c>
      <c r="D24" s="116">
        <v>2</v>
      </c>
      <c r="E24" s="116">
        <v>4</v>
      </c>
      <c r="F24" s="116"/>
      <c r="G24" s="116"/>
      <c r="H24" s="116"/>
      <c r="I24" s="116"/>
      <c r="J24" s="116">
        <v>85</v>
      </c>
      <c r="K24" s="116"/>
    </row>
    <row r="25" spans="1:11" ht="19.5" customHeight="1">
      <c r="A25" s="117" t="s">
        <v>1044</v>
      </c>
      <c r="B25" s="114">
        <f t="shared" si="0"/>
        <v>900</v>
      </c>
      <c r="C25" s="116"/>
      <c r="D25" s="116"/>
      <c r="E25" s="116"/>
      <c r="F25" s="116"/>
      <c r="G25" s="116"/>
      <c r="H25" s="116"/>
      <c r="I25" s="116"/>
      <c r="J25" s="116"/>
      <c r="K25" s="116">
        <v>900</v>
      </c>
    </row>
    <row r="26" spans="1:11" ht="19.5" customHeight="1">
      <c r="A26" s="155" t="s">
        <v>1045</v>
      </c>
      <c r="B26" s="114">
        <f t="shared" si="0"/>
        <v>654</v>
      </c>
      <c r="C26" s="116"/>
      <c r="D26" s="116"/>
      <c r="E26" s="116"/>
      <c r="F26" s="116"/>
      <c r="G26" s="116"/>
      <c r="H26" s="116">
        <v>654</v>
      </c>
      <c r="I26" s="116"/>
      <c r="J26" s="116"/>
      <c r="K26" s="116"/>
    </row>
    <row r="27" spans="1:11" ht="19.5" customHeight="1">
      <c r="A27" s="155" t="s">
        <v>1051</v>
      </c>
      <c r="B27" s="114">
        <f t="shared" si="0"/>
        <v>0</v>
      </c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9.5" customHeight="1">
      <c r="A28" s="116" t="s">
        <v>1053</v>
      </c>
      <c r="B28" s="114">
        <f t="shared" si="0"/>
        <v>751</v>
      </c>
      <c r="C28" s="116">
        <v>751</v>
      </c>
      <c r="D28" s="116"/>
      <c r="E28" s="116"/>
      <c r="F28" s="116"/>
      <c r="G28" s="116"/>
      <c r="H28" s="116"/>
      <c r="I28" s="116"/>
      <c r="J28" s="116"/>
      <c r="K28" s="116"/>
    </row>
    <row r="29" spans="1:11" ht="19.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9.5" customHeight="1">
      <c r="A30" s="116" t="s">
        <v>1064</v>
      </c>
      <c r="B30" s="114">
        <f>SUM(C30:K30)</f>
        <v>2006</v>
      </c>
      <c r="C30" s="116"/>
      <c r="D30" s="116"/>
      <c r="E30" s="116"/>
      <c r="F30" s="116"/>
      <c r="G30" s="116">
        <v>2006</v>
      </c>
      <c r="H30" s="116"/>
      <c r="I30" s="116"/>
      <c r="J30" s="116"/>
      <c r="K30" s="116"/>
    </row>
    <row r="31" spans="1:11" ht="19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9.5" customHeight="1">
      <c r="A32" s="118" t="s">
        <v>1130</v>
      </c>
      <c r="B32" s="114">
        <f aca="true" t="shared" si="1" ref="B32:K32">SUM(B5:B28,B30)</f>
        <v>105024</v>
      </c>
      <c r="C32" s="114">
        <f t="shared" si="1"/>
        <v>29736</v>
      </c>
      <c r="D32" s="114">
        <f t="shared" si="1"/>
        <v>9786</v>
      </c>
      <c r="E32" s="114">
        <f t="shared" si="1"/>
        <v>28725</v>
      </c>
      <c r="F32" s="114">
        <f t="shared" si="1"/>
        <v>0</v>
      </c>
      <c r="G32" s="114">
        <f t="shared" si="1"/>
        <v>2006</v>
      </c>
      <c r="H32" s="114">
        <f t="shared" si="1"/>
        <v>654</v>
      </c>
      <c r="I32" s="114">
        <f t="shared" si="1"/>
        <v>0</v>
      </c>
      <c r="J32" s="114">
        <f t="shared" si="1"/>
        <v>33217</v>
      </c>
      <c r="K32" s="114">
        <f t="shared" si="1"/>
        <v>900</v>
      </c>
    </row>
  </sheetData>
  <sheetProtection/>
  <mergeCells count="1">
    <mergeCell ref="A2:K2"/>
  </mergeCells>
  <printOptions horizontalCentered="1"/>
  <pageMargins left="0.47" right="0.47" top="0.47" bottom="0.35" header="0.12" footer="0.12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tabSelected="1" workbookViewId="0" topLeftCell="A1">
      <pane ySplit="5" topLeftCell="A6" activePane="bottomLeft" state="frozen"/>
      <selection pane="bottomLeft" activeCell="A2" sqref="A2:H2"/>
    </sheetView>
  </sheetViews>
  <sheetFormatPr defaultColWidth="12" defaultRowHeight="11.25"/>
  <cols>
    <col min="1" max="1" width="56.83203125" style="79" customWidth="1"/>
    <col min="2" max="2" width="16" style="79" customWidth="1"/>
    <col min="3" max="3" width="14" style="79" customWidth="1"/>
    <col min="4" max="4" width="18.5" style="140" customWidth="1"/>
    <col min="5" max="5" width="87.16015625" style="79" bestFit="1" customWidth="1"/>
    <col min="6" max="6" width="17.16015625" style="79" customWidth="1"/>
    <col min="7" max="7" width="14.5" style="79" customWidth="1"/>
    <col min="8" max="8" width="18.33203125" style="140" customWidth="1"/>
    <col min="9" max="16384" width="12" style="79" customWidth="1"/>
  </cols>
  <sheetData>
    <row r="1" spans="1:8" ht="14.25">
      <c r="A1" s="126"/>
      <c r="H1" s="141" t="s">
        <v>32</v>
      </c>
    </row>
    <row r="2" spans="1:8" ht="18" customHeight="1">
      <c r="A2" s="103" t="s">
        <v>1154</v>
      </c>
      <c r="B2" s="103"/>
      <c r="C2" s="103"/>
      <c r="D2" s="142"/>
      <c r="E2" s="103"/>
      <c r="F2" s="103"/>
      <c r="G2" s="103"/>
      <c r="H2" s="142"/>
    </row>
    <row r="3" spans="1:8" ht="18" customHeight="1">
      <c r="A3" s="126"/>
      <c r="H3" s="143" t="s">
        <v>1</v>
      </c>
    </row>
    <row r="4" spans="1:8" ht="31.5" customHeight="1">
      <c r="A4" s="127" t="s">
        <v>1059</v>
      </c>
      <c r="B4" s="144"/>
      <c r="C4" s="144"/>
      <c r="D4" s="145"/>
      <c r="E4" s="127" t="s">
        <v>1060</v>
      </c>
      <c r="F4" s="144"/>
      <c r="G4" s="144"/>
      <c r="H4" s="145"/>
    </row>
    <row r="5" spans="1:8" ht="35.25" customHeight="1">
      <c r="A5" s="146" t="s">
        <v>2</v>
      </c>
      <c r="B5" s="122" t="s">
        <v>3</v>
      </c>
      <c r="C5" s="146" t="s">
        <v>4</v>
      </c>
      <c r="D5" s="147" t="s">
        <v>5</v>
      </c>
      <c r="E5" s="146" t="s">
        <v>2</v>
      </c>
      <c r="F5" s="122" t="s">
        <v>3</v>
      </c>
      <c r="G5" s="146" t="s">
        <v>4</v>
      </c>
      <c r="H5" s="147" t="s">
        <v>5</v>
      </c>
    </row>
    <row r="6" spans="1:8" ht="19.5" customHeight="1">
      <c r="A6" s="113" t="s">
        <v>1155</v>
      </c>
      <c r="B6" s="116"/>
      <c r="C6" s="116"/>
      <c r="D6" s="148" t="e">
        <f aca="true" t="shared" si="0" ref="D6:D57">C6/B6*100</f>
        <v>#DIV/0!</v>
      </c>
      <c r="E6" s="113" t="s">
        <v>1156</v>
      </c>
      <c r="F6" s="149"/>
      <c r="G6" s="131">
        <f>G7</f>
        <v>0</v>
      </c>
      <c r="H6" s="150" t="e">
        <f aca="true" t="shared" si="1" ref="H6:H57">G6/F6*100</f>
        <v>#DIV/0!</v>
      </c>
    </row>
    <row r="7" spans="1:8" ht="19.5" customHeight="1">
      <c r="A7" s="113" t="s">
        <v>1157</v>
      </c>
      <c r="B7" s="151"/>
      <c r="C7" s="151"/>
      <c r="D7" s="148" t="e">
        <f t="shared" si="0"/>
        <v>#DIV/0!</v>
      </c>
      <c r="E7" s="115" t="s">
        <v>1158</v>
      </c>
      <c r="F7" s="151"/>
      <c r="G7" s="116"/>
      <c r="H7" s="150" t="e">
        <f t="shared" si="1"/>
        <v>#DIV/0!</v>
      </c>
    </row>
    <row r="8" spans="1:8" ht="19.5" customHeight="1">
      <c r="A8" s="113" t="s">
        <v>1159</v>
      </c>
      <c r="B8" s="151"/>
      <c r="C8" s="151"/>
      <c r="D8" s="148" t="e">
        <f t="shared" si="0"/>
        <v>#DIV/0!</v>
      </c>
      <c r="E8" s="113" t="s">
        <v>1160</v>
      </c>
      <c r="F8" s="151"/>
      <c r="G8" s="114">
        <f>SUM(G9:G10)</f>
        <v>1</v>
      </c>
      <c r="H8" s="150" t="e">
        <f t="shared" si="1"/>
        <v>#DIV/0!</v>
      </c>
    </row>
    <row r="9" spans="1:8" ht="19.5" customHeight="1">
      <c r="A9" s="132" t="s">
        <v>1161</v>
      </c>
      <c r="B9" s="151">
        <v>3</v>
      </c>
      <c r="C9" s="151">
        <v>30</v>
      </c>
      <c r="D9" s="148">
        <f t="shared" si="0"/>
        <v>1000</v>
      </c>
      <c r="E9" s="115" t="s">
        <v>1162</v>
      </c>
      <c r="F9" s="151"/>
      <c r="G9" s="116">
        <v>1</v>
      </c>
      <c r="H9" s="150" t="e">
        <f t="shared" si="1"/>
        <v>#DIV/0!</v>
      </c>
    </row>
    <row r="10" spans="1:8" ht="19.5" customHeight="1">
      <c r="A10" s="132" t="s">
        <v>1163</v>
      </c>
      <c r="B10" s="151"/>
      <c r="C10" s="151"/>
      <c r="D10" s="148" t="e">
        <f t="shared" si="0"/>
        <v>#DIV/0!</v>
      </c>
      <c r="E10" s="115" t="s">
        <v>1164</v>
      </c>
      <c r="F10" s="151"/>
      <c r="G10" s="116"/>
      <c r="H10" s="150" t="e">
        <f t="shared" si="1"/>
        <v>#DIV/0!</v>
      </c>
    </row>
    <row r="11" spans="1:8" ht="19.5" customHeight="1">
      <c r="A11" s="113" t="s">
        <v>1165</v>
      </c>
      <c r="B11" s="151"/>
      <c r="C11" s="151"/>
      <c r="D11" s="148" t="e">
        <f t="shared" si="0"/>
        <v>#DIV/0!</v>
      </c>
      <c r="E11" s="113" t="s">
        <v>1166</v>
      </c>
      <c r="F11" s="151"/>
      <c r="G11" s="114">
        <f>SUM(G12:G13)</f>
        <v>0</v>
      </c>
      <c r="H11" s="150" t="e">
        <f t="shared" si="1"/>
        <v>#DIV/0!</v>
      </c>
    </row>
    <row r="12" spans="1:8" ht="19.5" customHeight="1">
      <c r="A12" s="113" t="s">
        <v>1167</v>
      </c>
      <c r="B12" s="151">
        <v>84</v>
      </c>
      <c r="C12" s="151"/>
      <c r="D12" s="148">
        <f t="shared" si="0"/>
        <v>0</v>
      </c>
      <c r="E12" s="113" t="s">
        <v>1168</v>
      </c>
      <c r="F12" s="151"/>
      <c r="G12" s="116"/>
      <c r="H12" s="150" t="e">
        <f t="shared" si="1"/>
        <v>#DIV/0!</v>
      </c>
    </row>
    <row r="13" spans="1:8" ht="19.5" customHeight="1">
      <c r="A13" s="113" t="s">
        <v>1169</v>
      </c>
      <c r="B13" s="151">
        <v>5</v>
      </c>
      <c r="C13" s="151"/>
      <c r="D13" s="148">
        <f t="shared" si="0"/>
        <v>0</v>
      </c>
      <c r="E13" s="113" t="s">
        <v>1170</v>
      </c>
      <c r="F13" s="151"/>
      <c r="G13" s="116"/>
      <c r="H13" s="150" t="e">
        <f t="shared" si="1"/>
        <v>#DIV/0!</v>
      </c>
    </row>
    <row r="14" spans="1:8" ht="19.5" customHeight="1">
      <c r="A14" s="113" t="s">
        <v>1171</v>
      </c>
      <c r="B14" s="151">
        <v>697</v>
      </c>
      <c r="C14" s="151">
        <v>200</v>
      </c>
      <c r="D14" s="148">
        <f t="shared" si="0"/>
        <v>28.694404591104732</v>
      </c>
      <c r="E14" s="113" t="s">
        <v>1172</v>
      </c>
      <c r="F14" s="151">
        <f>SUM(F15:F20)</f>
        <v>3133</v>
      </c>
      <c r="G14" s="114">
        <f>SUM(G15:G20)</f>
        <v>673</v>
      </c>
      <c r="H14" s="150">
        <f t="shared" si="1"/>
        <v>21.481008617938077</v>
      </c>
    </row>
    <row r="15" spans="1:8" ht="19.5" customHeight="1">
      <c r="A15" s="113" t="s">
        <v>1173</v>
      </c>
      <c r="B15" s="151"/>
      <c r="C15" s="151"/>
      <c r="D15" s="148" t="e">
        <f t="shared" si="0"/>
        <v>#DIV/0!</v>
      </c>
      <c r="E15" s="113" t="s">
        <v>1174</v>
      </c>
      <c r="F15" s="151">
        <v>3043</v>
      </c>
      <c r="G15" s="116">
        <v>389</v>
      </c>
      <c r="H15" s="150">
        <f t="shared" si="1"/>
        <v>12.783437397305292</v>
      </c>
    </row>
    <row r="16" spans="1:8" ht="19.5" customHeight="1">
      <c r="A16" s="113" t="s">
        <v>1175</v>
      </c>
      <c r="B16" s="151"/>
      <c r="C16" s="151"/>
      <c r="D16" s="148" t="e">
        <f t="shared" si="0"/>
        <v>#DIV/0!</v>
      </c>
      <c r="E16" s="113" t="s">
        <v>1176</v>
      </c>
      <c r="F16" s="151"/>
      <c r="G16" s="116"/>
      <c r="H16" s="150" t="e">
        <f t="shared" si="1"/>
        <v>#DIV/0!</v>
      </c>
    </row>
    <row r="17" spans="1:8" ht="19.5" customHeight="1">
      <c r="A17" s="113" t="s">
        <v>1177</v>
      </c>
      <c r="B17" s="151">
        <v>88</v>
      </c>
      <c r="C17" s="151">
        <v>65</v>
      </c>
      <c r="D17" s="148">
        <f t="shared" si="0"/>
        <v>73.86363636363636</v>
      </c>
      <c r="E17" s="113" t="s">
        <v>1178</v>
      </c>
      <c r="F17" s="151">
        <v>80</v>
      </c>
      <c r="G17" s="116">
        <v>8</v>
      </c>
      <c r="H17" s="150">
        <f t="shared" si="1"/>
        <v>10</v>
      </c>
    </row>
    <row r="18" spans="1:8" ht="19.5" customHeight="1">
      <c r="A18" s="113" t="s">
        <v>1179</v>
      </c>
      <c r="B18" s="151"/>
      <c r="C18" s="151"/>
      <c r="D18" s="148" t="e">
        <f t="shared" si="0"/>
        <v>#DIV/0!</v>
      </c>
      <c r="E18" s="113" t="s">
        <v>1180</v>
      </c>
      <c r="F18" s="151">
        <v>10</v>
      </c>
      <c r="G18" s="116">
        <v>38</v>
      </c>
      <c r="H18" s="150">
        <f t="shared" si="1"/>
        <v>380</v>
      </c>
    </row>
    <row r="19" spans="1:8" ht="19.5" customHeight="1">
      <c r="A19" s="113" t="s">
        <v>1181</v>
      </c>
      <c r="B19" s="151"/>
      <c r="C19" s="151"/>
      <c r="D19" s="148" t="e">
        <f t="shared" si="0"/>
        <v>#DIV/0!</v>
      </c>
      <c r="E19" s="113" t="s">
        <v>1182</v>
      </c>
      <c r="F19" s="151"/>
      <c r="G19" s="116">
        <v>153</v>
      </c>
      <c r="H19" s="150" t="e">
        <f t="shared" si="1"/>
        <v>#DIV/0!</v>
      </c>
    </row>
    <row r="20" spans="1:8" ht="19.5" customHeight="1">
      <c r="A20" s="113" t="s">
        <v>1183</v>
      </c>
      <c r="B20" s="151"/>
      <c r="C20" s="151"/>
      <c r="D20" s="148" t="e">
        <f t="shared" si="0"/>
        <v>#DIV/0!</v>
      </c>
      <c r="E20" s="113" t="s">
        <v>1184</v>
      </c>
      <c r="F20" s="151"/>
      <c r="G20" s="116">
        <v>85</v>
      </c>
      <c r="H20" s="150" t="e">
        <f t="shared" si="1"/>
        <v>#DIV/0!</v>
      </c>
    </row>
    <row r="21" spans="1:8" ht="19.5" customHeight="1">
      <c r="A21" s="113" t="s">
        <v>1185</v>
      </c>
      <c r="B21" s="151">
        <v>46</v>
      </c>
      <c r="C21" s="151">
        <v>39</v>
      </c>
      <c r="D21" s="148">
        <f t="shared" si="0"/>
        <v>84.78260869565217</v>
      </c>
      <c r="E21" s="113" t="s">
        <v>1186</v>
      </c>
      <c r="F21" s="151"/>
      <c r="G21" s="114">
        <f>SUM(G22:G25)</f>
        <v>0</v>
      </c>
      <c r="H21" s="150" t="e">
        <f t="shared" si="1"/>
        <v>#DIV/0!</v>
      </c>
    </row>
    <row r="22" spans="1:8" ht="19.5" customHeight="1">
      <c r="A22" s="113" t="s">
        <v>1187</v>
      </c>
      <c r="B22" s="151"/>
      <c r="C22" s="151"/>
      <c r="D22" s="148" t="e">
        <f t="shared" si="0"/>
        <v>#DIV/0!</v>
      </c>
      <c r="E22" s="117" t="s">
        <v>1188</v>
      </c>
      <c r="F22" s="151"/>
      <c r="G22" s="116"/>
      <c r="H22" s="150" t="e">
        <f t="shared" si="1"/>
        <v>#DIV/0!</v>
      </c>
    </row>
    <row r="23" spans="1:8" ht="19.5" customHeight="1">
      <c r="A23" s="113" t="s">
        <v>1189</v>
      </c>
      <c r="B23" s="151"/>
      <c r="C23" s="151"/>
      <c r="D23" s="148" t="e">
        <f t="shared" si="0"/>
        <v>#DIV/0!</v>
      </c>
      <c r="E23" s="117" t="s">
        <v>1190</v>
      </c>
      <c r="F23" s="151"/>
      <c r="G23" s="116"/>
      <c r="H23" s="150" t="e">
        <f t="shared" si="1"/>
        <v>#DIV/0!</v>
      </c>
    </row>
    <row r="24" spans="1:8" ht="19.5" customHeight="1">
      <c r="A24" s="113" t="s">
        <v>1191</v>
      </c>
      <c r="B24" s="151"/>
      <c r="C24" s="151"/>
      <c r="D24" s="148" t="e">
        <f t="shared" si="0"/>
        <v>#DIV/0!</v>
      </c>
      <c r="E24" s="117" t="s">
        <v>1192</v>
      </c>
      <c r="F24" s="151"/>
      <c r="G24" s="116"/>
      <c r="H24" s="150" t="e">
        <f t="shared" si="1"/>
        <v>#DIV/0!</v>
      </c>
    </row>
    <row r="25" spans="1:8" ht="19.5" customHeight="1">
      <c r="A25" s="113" t="s">
        <v>1193</v>
      </c>
      <c r="B25" s="151"/>
      <c r="C25" s="151"/>
      <c r="D25" s="148" t="e">
        <f t="shared" si="0"/>
        <v>#DIV/0!</v>
      </c>
      <c r="E25" s="117" t="s">
        <v>1194</v>
      </c>
      <c r="F25" s="152"/>
      <c r="G25" s="130"/>
      <c r="H25" s="150" t="e">
        <f t="shared" si="1"/>
        <v>#DIV/0!</v>
      </c>
    </row>
    <row r="26" spans="1:8" ht="19.5" customHeight="1">
      <c r="A26" s="113"/>
      <c r="B26" s="151"/>
      <c r="C26" s="151"/>
      <c r="D26" s="148" t="e">
        <f t="shared" si="0"/>
        <v>#DIV/0!</v>
      </c>
      <c r="E26" s="115" t="s">
        <v>1195</v>
      </c>
      <c r="F26" s="152"/>
      <c r="G26" s="139">
        <f>SUM(G27:G32)</f>
        <v>0</v>
      </c>
      <c r="H26" s="150" t="e">
        <f t="shared" si="1"/>
        <v>#DIV/0!</v>
      </c>
    </row>
    <row r="27" spans="1:8" ht="19.5" customHeight="1">
      <c r="A27" s="113"/>
      <c r="B27" s="151"/>
      <c r="C27" s="151"/>
      <c r="D27" s="148" t="e">
        <f t="shared" si="0"/>
        <v>#DIV/0!</v>
      </c>
      <c r="E27" s="117" t="s">
        <v>1196</v>
      </c>
      <c r="F27" s="152"/>
      <c r="G27" s="130"/>
      <c r="H27" s="150" t="e">
        <f t="shared" si="1"/>
        <v>#DIV/0!</v>
      </c>
    </row>
    <row r="28" spans="1:8" ht="19.5" customHeight="1">
      <c r="A28" s="116"/>
      <c r="B28" s="151"/>
      <c r="C28" s="151"/>
      <c r="D28" s="148" t="e">
        <f t="shared" si="0"/>
        <v>#DIV/0!</v>
      </c>
      <c r="E28" s="117" t="s">
        <v>1197</v>
      </c>
      <c r="F28" s="152"/>
      <c r="G28" s="130"/>
      <c r="H28" s="150" t="e">
        <f t="shared" si="1"/>
        <v>#DIV/0!</v>
      </c>
    </row>
    <row r="29" spans="1:8" ht="19.5" customHeight="1">
      <c r="A29" s="116"/>
      <c r="B29" s="151"/>
      <c r="C29" s="151"/>
      <c r="D29" s="148" t="e">
        <f t="shared" si="0"/>
        <v>#DIV/0!</v>
      </c>
      <c r="E29" s="117" t="s">
        <v>1198</v>
      </c>
      <c r="F29" s="152"/>
      <c r="G29" s="130"/>
      <c r="H29" s="150" t="e">
        <f t="shared" si="1"/>
        <v>#DIV/0!</v>
      </c>
    </row>
    <row r="30" spans="1:8" ht="19.5" customHeight="1">
      <c r="A30" s="115"/>
      <c r="B30" s="151"/>
      <c r="C30" s="151"/>
      <c r="D30" s="148" t="e">
        <f t="shared" si="0"/>
        <v>#DIV/0!</v>
      </c>
      <c r="E30" s="117" t="s">
        <v>1199</v>
      </c>
      <c r="F30" s="152"/>
      <c r="G30" s="130"/>
      <c r="H30" s="150" t="e">
        <f t="shared" si="1"/>
        <v>#DIV/0!</v>
      </c>
    </row>
    <row r="31" spans="1:8" ht="19.5" customHeight="1">
      <c r="A31" s="115"/>
      <c r="B31" s="151"/>
      <c r="C31" s="151"/>
      <c r="D31" s="148" t="e">
        <f t="shared" si="0"/>
        <v>#DIV/0!</v>
      </c>
      <c r="E31" s="117" t="s">
        <v>1200</v>
      </c>
      <c r="F31" s="152"/>
      <c r="G31" s="130"/>
      <c r="H31" s="150" t="e">
        <f t="shared" si="1"/>
        <v>#DIV/0!</v>
      </c>
    </row>
    <row r="32" spans="1:8" ht="19.5" customHeight="1">
      <c r="A32" s="115"/>
      <c r="B32" s="151"/>
      <c r="C32" s="151"/>
      <c r="D32" s="148" t="e">
        <f t="shared" si="0"/>
        <v>#DIV/0!</v>
      </c>
      <c r="E32" s="117" t="s">
        <v>1201</v>
      </c>
      <c r="F32" s="152"/>
      <c r="G32" s="130"/>
      <c r="H32" s="150" t="e">
        <f t="shared" si="1"/>
        <v>#DIV/0!</v>
      </c>
    </row>
    <row r="33" spans="1:8" ht="19.5" customHeight="1">
      <c r="A33" s="115"/>
      <c r="B33" s="151"/>
      <c r="C33" s="151"/>
      <c r="D33" s="148" t="e">
        <f t="shared" si="0"/>
        <v>#DIV/0!</v>
      </c>
      <c r="E33" s="115" t="s">
        <v>1202</v>
      </c>
      <c r="F33" s="152">
        <f>SUM(F34:F36)</f>
        <v>21</v>
      </c>
      <c r="G33" s="139">
        <f>SUM(G34:G36)</f>
        <v>30</v>
      </c>
      <c r="H33" s="150">
        <f t="shared" si="1"/>
        <v>142.85714285714286</v>
      </c>
    </row>
    <row r="34" spans="1:8" ht="19.5" customHeight="1">
      <c r="A34" s="115"/>
      <c r="B34" s="151"/>
      <c r="C34" s="151"/>
      <c r="D34" s="148" t="e">
        <f t="shared" si="0"/>
        <v>#DIV/0!</v>
      </c>
      <c r="E34" s="117" t="s">
        <v>1203</v>
      </c>
      <c r="F34" s="152"/>
      <c r="G34" s="130"/>
      <c r="H34" s="150" t="e">
        <f t="shared" si="1"/>
        <v>#DIV/0!</v>
      </c>
    </row>
    <row r="35" spans="1:8" ht="19.5" customHeight="1">
      <c r="A35" s="115"/>
      <c r="B35" s="151"/>
      <c r="C35" s="151"/>
      <c r="D35" s="148" t="e">
        <f t="shared" si="0"/>
        <v>#DIV/0!</v>
      </c>
      <c r="E35" s="117" t="s">
        <v>1204</v>
      </c>
      <c r="F35" s="152">
        <v>21</v>
      </c>
      <c r="G35" s="130">
        <v>30</v>
      </c>
      <c r="H35" s="150">
        <f t="shared" si="1"/>
        <v>142.85714285714286</v>
      </c>
    </row>
    <row r="36" spans="1:8" ht="19.5" customHeight="1">
      <c r="A36" s="115"/>
      <c r="B36" s="151"/>
      <c r="C36" s="151"/>
      <c r="D36" s="148" t="e">
        <f t="shared" si="0"/>
        <v>#DIV/0!</v>
      </c>
      <c r="E36" s="117" t="s">
        <v>1205</v>
      </c>
      <c r="F36" s="152"/>
      <c r="G36" s="130"/>
      <c r="H36" s="150" t="e">
        <f t="shared" si="1"/>
        <v>#DIV/0!</v>
      </c>
    </row>
    <row r="37" spans="1:8" s="125" customFormat="1" ht="19.5" customHeight="1">
      <c r="A37" s="115"/>
      <c r="B37" s="151"/>
      <c r="C37" s="151"/>
      <c r="D37" s="148" t="e">
        <f t="shared" si="0"/>
        <v>#DIV/0!</v>
      </c>
      <c r="E37" s="115" t="s">
        <v>1206</v>
      </c>
      <c r="F37" s="152"/>
      <c r="G37" s="139">
        <f>G38</f>
        <v>0</v>
      </c>
      <c r="H37" s="150" t="e">
        <f t="shared" si="1"/>
        <v>#DIV/0!</v>
      </c>
    </row>
    <row r="38" spans="1:8" ht="19.5" customHeight="1">
      <c r="A38" s="115"/>
      <c r="B38" s="151"/>
      <c r="C38" s="151"/>
      <c r="D38" s="148" t="e">
        <f t="shared" si="0"/>
        <v>#DIV/0!</v>
      </c>
      <c r="E38" s="117" t="s">
        <v>1207</v>
      </c>
      <c r="F38" s="152"/>
      <c r="G38" s="130"/>
      <c r="H38" s="150" t="e">
        <f t="shared" si="1"/>
        <v>#DIV/0!</v>
      </c>
    </row>
    <row r="39" spans="1:8" ht="19.5" customHeight="1">
      <c r="A39" s="113"/>
      <c r="B39" s="151"/>
      <c r="C39" s="152"/>
      <c r="D39" s="148" t="e">
        <f t="shared" si="0"/>
        <v>#DIV/0!</v>
      </c>
      <c r="E39" s="115" t="s">
        <v>1208</v>
      </c>
      <c r="F39" s="152">
        <f>SUM(F40:F42)</f>
        <v>594</v>
      </c>
      <c r="G39" s="139">
        <f>SUM(G40:G42)</f>
        <v>182</v>
      </c>
      <c r="H39" s="150">
        <f t="shared" si="1"/>
        <v>30.63973063973064</v>
      </c>
    </row>
    <row r="40" spans="1:8" ht="19.5" customHeight="1">
      <c r="A40" s="113"/>
      <c r="B40" s="151"/>
      <c r="C40" s="152"/>
      <c r="D40" s="148" t="e">
        <f t="shared" si="0"/>
        <v>#DIV/0!</v>
      </c>
      <c r="E40" s="117" t="s">
        <v>1209</v>
      </c>
      <c r="F40" s="152">
        <f>144+7</f>
        <v>151</v>
      </c>
      <c r="G40" s="130">
        <v>7</v>
      </c>
      <c r="H40" s="150">
        <f t="shared" si="1"/>
        <v>4.635761589403973</v>
      </c>
    </row>
    <row r="41" spans="1:8" ht="19.5" customHeight="1">
      <c r="A41" s="113"/>
      <c r="B41" s="151"/>
      <c r="C41" s="152"/>
      <c r="D41" s="148" t="e">
        <f t="shared" si="0"/>
        <v>#DIV/0!</v>
      </c>
      <c r="E41" s="117" t="s">
        <v>1210</v>
      </c>
      <c r="F41" s="152"/>
      <c r="G41" s="130"/>
      <c r="H41" s="150" t="e">
        <f t="shared" si="1"/>
        <v>#DIV/0!</v>
      </c>
    </row>
    <row r="42" spans="1:8" ht="19.5" customHeight="1">
      <c r="A42" s="113"/>
      <c r="B42" s="152"/>
      <c r="C42" s="152"/>
      <c r="D42" s="148" t="e">
        <f t="shared" si="0"/>
        <v>#DIV/0!</v>
      </c>
      <c r="E42" s="117" t="s">
        <v>1211</v>
      </c>
      <c r="F42" s="152">
        <v>443</v>
      </c>
      <c r="G42" s="130">
        <v>175</v>
      </c>
      <c r="H42" s="150">
        <f t="shared" si="1"/>
        <v>39.503386004514674</v>
      </c>
    </row>
    <row r="43" spans="1:8" ht="19.5" customHeight="1">
      <c r="A43" s="113"/>
      <c r="B43" s="152"/>
      <c r="C43" s="130"/>
      <c r="D43" s="148" t="e">
        <f t="shared" si="0"/>
        <v>#DIV/0!</v>
      </c>
      <c r="E43" s="115" t="s">
        <v>1212</v>
      </c>
      <c r="F43" s="152"/>
      <c r="G43" s="130"/>
      <c r="H43" s="150" t="e">
        <f t="shared" si="1"/>
        <v>#DIV/0!</v>
      </c>
    </row>
    <row r="44" spans="1:8" ht="19.5" customHeight="1">
      <c r="A44" s="113"/>
      <c r="B44" s="152"/>
      <c r="C44" s="130"/>
      <c r="D44" s="148" t="e">
        <f t="shared" si="0"/>
        <v>#DIV/0!</v>
      </c>
      <c r="E44" s="115" t="s">
        <v>1213</v>
      </c>
      <c r="F44" s="152"/>
      <c r="G44" s="130"/>
      <c r="H44" s="150" t="e">
        <f t="shared" si="1"/>
        <v>#DIV/0!</v>
      </c>
    </row>
    <row r="45" spans="1:8" ht="19.5" customHeight="1">
      <c r="A45" s="118"/>
      <c r="B45" s="152"/>
      <c r="C45" s="130"/>
      <c r="D45" s="148" t="e">
        <f t="shared" si="0"/>
        <v>#DIV/0!</v>
      </c>
      <c r="E45" s="118"/>
      <c r="F45" s="152"/>
      <c r="G45" s="130"/>
      <c r="H45" s="150" t="e">
        <f t="shared" si="1"/>
        <v>#DIV/0!</v>
      </c>
    </row>
    <row r="46" spans="1:8" ht="19.5" customHeight="1">
      <c r="A46" s="118" t="s">
        <v>33</v>
      </c>
      <c r="B46" s="152">
        <f>SUM(B6:B25)</f>
        <v>923</v>
      </c>
      <c r="C46" s="139">
        <f>SUM(C6:C25)</f>
        <v>334</v>
      </c>
      <c r="D46" s="148">
        <f t="shared" si="0"/>
        <v>36.1863488624052</v>
      </c>
      <c r="E46" s="118" t="s">
        <v>1056</v>
      </c>
      <c r="F46" s="152">
        <f>SUM(F6,F8,F11,F14,F21,F26,F33,F37,F39,F43,F44)</f>
        <v>3748</v>
      </c>
      <c r="G46" s="139">
        <f>SUM(G6,G8,G11,G14,G21,G26,G33,G37,G39,G43,G44)</f>
        <v>886</v>
      </c>
      <c r="H46" s="150">
        <f t="shared" si="1"/>
        <v>23.639274279615798</v>
      </c>
    </row>
    <row r="47" spans="1:8" ht="19.5" customHeight="1">
      <c r="A47" s="136" t="s">
        <v>1063</v>
      </c>
      <c r="B47" s="152"/>
      <c r="C47" s="139">
        <f>C48+C51+C52+C54+C55</f>
        <v>552</v>
      </c>
      <c r="D47" s="148" t="e">
        <f t="shared" si="0"/>
        <v>#DIV/0!</v>
      </c>
      <c r="E47" s="136" t="s">
        <v>1064</v>
      </c>
      <c r="F47" s="152"/>
      <c r="G47" s="139">
        <f>G48+G51+G52+G53+G54</f>
        <v>0</v>
      </c>
      <c r="H47" s="150" t="e">
        <f t="shared" si="1"/>
        <v>#DIV/0!</v>
      </c>
    </row>
    <row r="48" spans="1:8" ht="19.5" customHeight="1">
      <c r="A48" s="116" t="s">
        <v>1214</v>
      </c>
      <c r="B48" s="152">
        <f aca="true" t="shared" si="2" ref="B48:G48">SUM(B49:B50)</f>
        <v>471</v>
      </c>
      <c r="C48" s="139">
        <f t="shared" si="2"/>
        <v>21</v>
      </c>
      <c r="D48" s="148">
        <f t="shared" si="0"/>
        <v>4.45859872611465</v>
      </c>
      <c r="E48" s="116" t="s">
        <v>1215</v>
      </c>
      <c r="F48" s="152">
        <f t="shared" si="2"/>
        <v>3</v>
      </c>
      <c r="G48" s="139">
        <f t="shared" si="2"/>
        <v>0</v>
      </c>
      <c r="H48" s="150">
        <f t="shared" si="1"/>
        <v>0</v>
      </c>
    </row>
    <row r="49" spans="1:8" ht="19.5" customHeight="1">
      <c r="A49" s="116" t="s">
        <v>1216</v>
      </c>
      <c r="B49" s="152">
        <v>471</v>
      </c>
      <c r="C49" s="130">
        <v>21</v>
      </c>
      <c r="D49" s="148">
        <f t="shared" si="0"/>
        <v>4.45859872611465</v>
      </c>
      <c r="E49" s="116" t="s">
        <v>1217</v>
      </c>
      <c r="F49" s="152"/>
      <c r="G49" s="130"/>
      <c r="H49" s="150" t="e">
        <f t="shared" si="1"/>
        <v>#DIV/0!</v>
      </c>
    </row>
    <row r="50" spans="1:8" ht="19.5" customHeight="1">
      <c r="A50" s="116" t="s">
        <v>1218</v>
      </c>
      <c r="B50" s="152"/>
      <c r="C50" s="130"/>
      <c r="D50" s="148" t="e">
        <f t="shared" si="0"/>
        <v>#DIV/0!</v>
      </c>
      <c r="E50" s="116" t="s">
        <v>1219</v>
      </c>
      <c r="F50" s="152">
        <v>3</v>
      </c>
      <c r="G50" s="130"/>
      <c r="H50" s="150">
        <f t="shared" si="1"/>
        <v>0</v>
      </c>
    </row>
    <row r="51" spans="1:8" ht="19.5" customHeight="1">
      <c r="A51" s="116" t="s">
        <v>1112</v>
      </c>
      <c r="B51" s="152">
        <v>389</v>
      </c>
      <c r="C51" s="130">
        <v>531</v>
      </c>
      <c r="D51" s="148">
        <f t="shared" si="0"/>
        <v>136.50385604113112</v>
      </c>
      <c r="E51" s="116" t="s">
        <v>1220</v>
      </c>
      <c r="F51" s="152">
        <v>1</v>
      </c>
      <c r="G51" s="130"/>
      <c r="H51" s="150">
        <f t="shared" si="1"/>
        <v>0</v>
      </c>
    </row>
    <row r="52" spans="1:8" ht="19.5" customHeight="1">
      <c r="A52" s="116" t="s">
        <v>1114</v>
      </c>
      <c r="B52" s="152"/>
      <c r="C52" s="130"/>
      <c r="D52" s="148" t="e">
        <f t="shared" si="0"/>
        <v>#DIV/0!</v>
      </c>
      <c r="E52" s="116" t="s">
        <v>1221</v>
      </c>
      <c r="F52" s="152">
        <v>531</v>
      </c>
      <c r="G52" s="130"/>
      <c r="H52" s="150">
        <f t="shared" si="1"/>
        <v>0</v>
      </c>
    </row>
    <row r="53" spans="1:8" ht="19.5" customHeight="1">
      <c r="A53" s="116" t="s">
        <v>1222</v>
      </c>
      <c r="B53" s="152"/>
      <c r="C53" s="130"/>
      <c r="D53" s="148" t="e">
        <f t="shared" si="0"/>
        <v>#DIV/0!</v>
      </c>
      <c r="E53" s="138" t="s">
        <v>1223</v>
      </c>
      <c r="F53" s="152"/>
      <c r="G53" s="130"/>
      <c r="H53" s="150" t="e">
        <f t="shared" si="1"/>
        <v>#DIV/0!</v>
      </c>
    </row>
    <row r="54" spans="1:8" ht="19.5" customHeight="1">
      <c r="A54" s="138" t="s">
        <v>1224</v>
      </c>
      <c r="B54" s="152"/>
      <c r="C54" s="130"/>
      <c r="D54" s="148" t="e">
        <f t="shared" si="0"/>
        <v>#DIV/0!</v>
      </c>
      <c r="E54" s="138" t="s">
        <v>1225</v>
      </c>
      <c r="F54" s="152"/>
      <c r="G54" s="130"/>
      <c r="H54" s="150" t="e">
        <f t="shared" si="1"/>
        <v>#DIV/0!</v>
      </c>
    </row>
    <row r="55" spans="1:8" ht="19.5" customHeight="1">
      <c r="A55" s="138" t="s">
        <v>1226</v>
      </c>
      <c r="B55" s="152">
        <v>2500</v>
      </c>
      <c r="C55" s="130"/>
      <c r="D55" s="148">
        <f t="shared" si="0"/>
        <v>0</v>
      </c>
      <c r="E55" s="138"/>
      <c r="F55" s="152"/>
      <c r="G55" s="130"/>
      <c r="H55" s="150" t="e">
        <f t="shared" si="1"/>
        <v>#DIV/0!</v>
      </c>
    </row>
    <row r="56" spans="1:8" ht="19.5" customHeight="1">
      <c r="A56" s="138"/>
      <c r="B56" s="152"/>
      <c r="C56" s="130"/>
      <c r="D56" s="148" t="e">
        <f t="shared" si="0"/>
        <v>#DIV/0!</v>
      </c>
      <c r="E56" s="138"/>
      <c r="F56" s="152"/>
      <c r="G56" s="130"/>
      <c r="H56" s="150" t="e">
        <f t="shared" si="1"/>
        <v>#DIV/0!</v>
      </c>
    </row>
    <row r="57" spans="1:8" ht="19.5" customHeight="1">
      <c r="A57" s="118" t="s">
        <v>1129</v>
      </c>
      <c r="B57" s="152">
        <f>SUM(B46,B51,B48,B55)</f>
        <v>4283</v>
      </c>
      <c r="C57" s="139">
        <f>SUM(C46:C47)</f>
        <v>886</v>
      </c>
      <c r="D57" s="148">
        <f t="shared" si="0"/>
        <v>20.686434742003268</v>
      </c>
      <c r="E57" s="118" t="s">
        <v>1130</v>
      </c>
      <c r="F57" s="152">
        <f>SUM(F46,F48,F51,F52)</f>
        <v>4283</v>
      </c>
      <c r="G57" s="139">
        <f>G47+G46</f>
        <v>886</v>
      </c>
      <c r="H57" s="150">
        <f t="shared" si="1"/>
        <v>20.686434742003268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3">
    <mergeCell ref="A2:H2"/>
    <mergeCell ref="A4:D4"/>
    <mergeCell ref="E4:H4"/>
  </mergeCells>
  <printOptions horizontalCentered="1"/>
  <pageMargins left="0.47" right="0.47" top="0.39" bottom="0.28" header="0.12" footer="0.12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7"/>
  <sheetViews>
    <sheetView showGridLines="0" showZeros="0" workbookViewId="0" topLeftCell="A1">
      <pane ySplit="5" topLeftCell="A159" activePane="bottomLeft" state="frozen"/>
      <selection pane="bottomLeft" activeCell="A2" sqref="A2:D2"/>
    </sheetView>
  </sheetViews>
  <sheetFormatPr defaultColWidth="12" defaultRowHeight="11.25"/>
  <cols>
    <col min="1" max="1" width="68" style="79" customWidth="1"/>
    <col min="2" max="2" width="18.33203125" style="79" customWidth="1"/>
    <col min="3" max="3" width="79.33203125" style="79" customWidth="1"/>
    <col min="4" max="4" width="20.83203125" style="79" customWidth="1"/>
    <col min="5" max="16384" width="12" style="79" customWidth="1"/>
  </cols>
  <sheetData>
    <row r="1" ht="14.25">
      <c r="A1" s="126"/>
    </row>
    <row r="2" spans="1:4" ht="18" customHeight="1">
      <c r="A2" s="103" t="s">
        <v>1227</v>
      </c>
      <c r="B2" s="103"/>
      <c r="C2" s="103"/>
      <c r="D2" s="103"/>
    </row>
    <row r="3" spans="1:4" ht="14.25" customHeight="1">
      <c r="A3" s="126"/>
      <c r="D3" s="79" t="s">
        <v>1</v>
      </c>
    </row>
    <row r="4" spans="1:4" ht="31.5" customHeight="1">
      <c r="A4" s="127" t="s">
        <v>1059</v>
      </c>
      <c r="B4" s="128"/>
      <c r="C4" s="127" t="s">
        <v>1060</v>
      </c>
      <c r="D4" s="128"/>
    </row>
    <row r="5" spans="1:6" ht="19.5" customHeight="1">
      <c r="A5" s="129" t="s">
        <v>2</v>
      </c>
      <c r="B5" s="129" t="s">
        <v>4</v>
      </c>
      <c r="C5" s="129" t="s">
        <v>2</v>
      </c>
      <c r="D5" s="129" t="s">
        <v>4</v>
      </c>
      <c r="E5" s="130" t="s">
        <v>1228</v>
      </c>
      <c r="F5" s="130" t="s">
        <v>1229</v>
      </c>
    </row>
    <row r="6" spans="1:6" ht="19.5" customHeight="1">
      <c r="A6" s="113" t="s">
        <v>1155</v>
      </c>
      <c r="B6" s="116"/>
      <c r="C6" s="113" t="s">
        <v>1156</v>
      </c>
      <c r="D6" s="131">
        <f>D7</f>
        <v>0</v>
      </c>
      <c r="E6" s="130"/>
      <c r="F6" s="130"/>
    </row>
    <row r="7" spans="1:6" ht="19.5" customHeight="1">
      <c r="A7" s="113" t="s">
        <v>1157</v>
      </c>
      <c r="B7" s="116"/>
      <c r="C7" s="115" t="s">
        <v>1158</v>
      </c>
      <c r="D7" s="114">
        <f>SUM(D8:D11)</f>
        <v>0</v>
      </c>
      <c r="E7" s="130"/>
      <c r="F7" s="130"/>
    </row>
    <row r="8" spans="1:6" ht="19.5" customHeight="1">
      <c r="A8" s="113" t="s">
        <v>1159</v>
      </c>
      <c r="B8" s="116"/>
      <c r="C8" s="115" t="s">
        <v>1230</v>
      </c>
      <c r="D8" s="116"/>
      <c r="E8" s="130"/>
      <c r="F8" s="130"/>
    </row>
    <row r="9" spans="1:6" ht="19.5" customHeight="1">
      <c r="A9" s="132" t="s">
        <v>1161</v>
      </c>
      <c r="B9" s="116">
        <v>30</v>
      </c>
      <c r="C9" s="115" t="s">
        <v>1231</v>
      </c>
      <c r="D9" s="116"/>
      <c r="E9" s="130"/>
      <c r="F9" s="130"/>
    </row>
    <row r="10" spans="1:6" ht="19.5" customHeight="1">
      <c r="A10" s="133" t="s">
        <v>1163</v>
      </c>
      <c r="B10" s="116"/>
      <c r="C10" s="115" t="s">
        <v>1232</v>
      </c>
      <c r="D10" s="116"/>
      <c r="E10" s="130"/>
      <c r="F10" s="130"/>
    </row>
    <row r="11" spans="1:6" ht="19.5" customHeight="1">
      <c r="A11" s="113" t="s">
        <v>1165</v>
      </c>
      <c r="B11" s="116"/>
      <c r="C11" s="115" t="s">
        <v>1233</v>
      </c>
      <c r="D11" s="116"/>
      <c r="E11" s="130"/>
      <c r="F11" s="130"/>
    </row>
    <row r="12" spans="1:6" ht="19.5" customHeight="1">
      <c r="A12" s="113" t="s">
        <v>1167</v>
      </c>
      <c r="B12" s="116"/>
      <c r="C12" s="113" t="s">
        <v>1160</v>
      </c>
      <c r="D12" s="114">
        <f aca="true" t="shared" si="0" ref="D12:F12">SUM(D13,D17)</f>
        <v>1</v>
      </c>
      <c r="E12" s="114">
        <f t="shared" si="0"/>
        <v>0</v>
      </c>
      <c r="F12" s="114">
        <f t="shared" si="0"/>
        <v>1</v>
      </c>
    </row>
    <row r="13" spans="1:6" ht="19.5" customHeight="1">
      <c r="A13" s="113" t="s">
        <v>1169</v>
      </c>
      <c r="B13" s="116"/>
      <c r="C13" s="115" t="s">
        <v>1162</v>
      </c>
      <c r="D13" s="114">
        <f aca="true" t="shared" si="1" ref="D13:F13">SUM(D14:D16)</f>
        <v>1</v>
      </c>
      <c r="E13" s="114">
        <f t="shared" si="1"/>
        <v>0</v>
      </c>
      <c r="F13" s="114">
        <f t="shared" si="1"/>
        <v>1</v>
      </c>
    </row>
    <row r="14" spans="1:6" ht="19.5" customHeight="1">
      <c r="A14" s="113" t="s">
        <v>1171</v>
      </c>
      <c r="B14" s="114">
        <f>SUM(B15:B19)</f>
        <v>200</v>
      </c>
      <c r="C14" s="115" t="s">
        <v>1234</v>
      </c>
      <c r="D14" s="116">
        <v>1</v>
      </c>
      <c r="E14" s="130"/>
      <c r="F14" s="130">
        <v>1</v>
      </c>
    </row>
    <row r="15" spans="1:6" ht="19.5" customHeight="1">
      <c r="A15" s="116" t="s">
        <v>1235</v>
      </c>
      <c r="B15" s="116">
        <v>200</v>
      </c>
      <c r="C15" s="115" t="s">
        <v>1236</v>
      </c>
      <c r="D15" s="116"/>
      <c r="E15" s="130"/>
      <c r="F15" s="130"/>
    </row>
    <row r="16" spans="1:6" ht="19.5" customHeight="1">
      <c r="A16" s="116" t="s">
        <v>1237</v>
      </c>
      <c r="B16" s="116"/>
      <c r="C16" s="115" t="s">
        <v>1238</v>
      </c>
      <c r="D16" s="116"/>
      <c r="E16" s="130"/>
      <c r="F16" s="130"/>
    </row>
    <row r="17" spans="1:6" ht="19.5" customHeight="1">
      <c r="A17" s="116" t="s">
        <v>1239</v>
      </c>
      <c r="B17" s="116"/>
      <c r="C17" s="115" t="s">
        <v>1164</v>
      </c>
      <c r="D17" s="114">
        <f>SUM(D18:D20)</f>
        <v>0</v>
      </c>
      <c r="E17" s="130"/>
      <c r="F17" s="130"/>
    </row>
    <row r="18" spans="1:6" ht="19.5" customHeight="1">
      <c r="A18" s="116" t="s">
        <v>1240</v>
      </c>
      <c r="B18" s="116"/>
      <c r="C18" s="115" t="s">
        <v>1234</v>
      </c>
      <c r="D18" s="116"/>
      <c r="E18" s="130"/>
      <c r="F18" s="130"/>
    </row>
    <row r="19" spans="1:6" ht="19.5" customHeight="1">
      <c r="A19" s="116" t="s">
        <v>1241</v>
      </c>
      <c r="B19" s="116"/>
      <c r="C19" s="115" t="s">
        <v>1236</v>
      </c>
      <c r="D19" s="116"/>
      <c r="E19" s="130"/>
      <c r="F19" s="130"/>
    </row>
    <row r="20" spans="1:6" ht="19.5" customHeight="1">
      <c r="A20" s="113" t="s">
        <v>1173</v>
      </c>
      <c r="B20" s="116"/>
      <c r="C20" s="117" t="s">
        <v>1242</v>
      </c>
      <c r="D20" s="116"/>
      <c r="E20" s="130"/>
      <c r="F20" s="130"/>
    </row>
    <row r="21" spans="1:6" ht="19.5" customHeight="1">
      <c r="A21" s="113" t="s">
        <v>1175</v>
      </c>
      <c r="B21" s="114">
        <f>SUM(B22:B23)</f>
        <v>0</v>
      </c>
      <c r="C21" s="113" t="s">
        <v>1166</v>
      </c>
      <c r="D21" s="114">
        <f>SUM(D22:D23)</f>
        <v>0</v>
      </c>
      <c r="E21" s="130"/>
      <c r="F21" s="130"/>
    </row>
    <row r="22" spans="1:6" ht="19.5" customHeight="1">
      <c r="A22" s="116" t="s">
        <v>1243</v>
      </c>
      <c r="B22" s="116"/>
      <c r="C22" s="113" t="s">
        <v>1168</v>
      </c>
      <c r="D22" s="116"/>
      <c r="E22" s="130"/>
      <c r="F22" s="130"/>
    </row>
    <row r="23" spans="1:6" ht="19.5" customHeight="1">
      <c r="A23" s="116" t="s">
        <v>1244</v>
      </c>
      <c r="B23" s="116"/>
      <c r="C23" s="113" t="s">
        <v>1170</v>
      </c>
      <c r="D23" s="114">
        <f>SUM(D24:D27)</f>
        <v>0</v>
      </c>
      <c r="E23" s="130"/>
      <c r="F23" s="130"/>
    </row>
    <row r="24" spans="1:6" ht="19.5" customHeight="1">
      <c r="A24" s="113" t="s">
        <v>1177</v>
      </c>
      <c r="B24" s="116">
        <v>65</v>
      </c>
      <c r="C24" s="113" t="s">
        <v>1245</v>
      </c>
      <c r="D24" s="116"/>
      <c r="E24" s="130"/>
      <c r="F24" s="130"/>
    </row>
    <row r="25" spans="1:6" ht="19.5" customHeight="1">
      <c r="A25" s="113" t="s">
        <v>1179</v>
      </c>
      <c r="B25" s="116"/>
      <c r="C25" s="113" t="s">
        <v>1246</v>
      </c>
      <c r="D25" s="116"/>
      <c r="E25" s="130"/>
      <c r="F25" s="130"/>
    </row>
    <row r="26" spans="1:6" ht="19.5" customHeight="1">
      <c r="A26" s="113" t="s">
        <v>1181</v>
      </c>
      <c r="B26" s="114">
        <f>SUM(B27:B29)</f>
        <v>0</v>
      </c>
      <c r="C26" s="113" t="s">
        <v>1247</v>
      </c>
      <c r="D26" s="116"/>
      <c r="E26" s="130"/>
      <c r="F26" s="130"/>
    </row>
    <row r="27" spans="1:6" ht="19.5" customHeight="1">
      <c r="A27" s="116" t="s">
        <v>1248</v>
      </c>
      <c r="B27" s="116"/>
      <c r="C27" s="113" t="s">
        <v>1249</v>
      </c>
      <c r="D27" s="116"/>
      <c r="E27" s="130"/>
      <c r="F27" s="130"/>
    </row>
    <row r="28" spans="1:6" ht="19.5" customHeight="1">
      <c r="A28" s="116" t="s">
        <v>1250</v>
      </c>
      <c r="B28" s="116"/>
      <c r="C28" s="113" t="s">
        <v>1172</v>
      </c>
      <c r="D28" s="114">
        <f aca="true" t="shared" si="2" ref="D28:F28">SUM(D29,D42,D48,D52:D53,D59)</f>
        <v>673</v>
      </c>
      <c r="E28" s="114">
        <f t="shared" si="2"/>
        <v>304</v>
      </c>
      <c r="F28" s="114">
        <f t="shared" si="2"/>
        <v>369</v>
      </c>
    </row>
    <row r="29" spans="1:6" ht="19.5" customHeight="1">
      <c r="A29" s="116" t="s">
        <v>1251</v>
      </c>
      <c r="B29" s="116"/>
      <c r="C29" s="113" t="s">
        <v>1174</v>
      </c>
      <c r="D29" s="114">
        <f aca="true" t="shared" si="3" ref="D29:F29">SUM(D30:D41)</f>
        <v>389</v>
      </c>
      <c r="E29" s="114">
        <f t="shared" si="3"/>
        <v>200</v>
      </c>
      <c r="F29" s="114">
        <f t="shared" si="3"/>
        <v>189</v>
      </c>
    </row>
    <row r="30" spans="1:6" ht="19.5" customHeight="1">
      <c r="A30" s="113" t="s">
        <v>1183</v>
      </c>
      <c r="B30" s="116"/>
      <c r="C30" s="117" t="s">
        <v>1252</v>
      </c>
      <c r="D30" s="116">
        <v>389</v>
      </c>
      <c r="E30" s="130">
        <v>200</v>
      </c>
      <c r="F30" s="130">
        <v>189</v>
      </c>
    </row>
    <row r="31" spans="1:6" ht="19.5" customHeight="1">
      <c r="A31" s="113" t="s">
        <v>1185</v>
      </c>
      <c r="B31" s="116">
        <v>39</v>
      </c>
      <c r="C31" s="117" t="s">
        <v>1253</v>
      </c>
      <c r="D31" s="116"/>
      <c r="E31" s="130"/>
      <c r="F31" s="130"/>
    </row>
    <row r="32" spans="1:6" ht="19.5" customHeight="1">
      <c r="A32" s="113" t="s">
        <v>1187</v>
      </c>
      <c r="B32" s="116"/>
      <c r="C32" s="117" t="s">
        <v>1254</v>
      </c>
      <c r="D32" s="116"/>
      <c r="E32" s="130"/>
      <c r="F32" s="130"/>
    </row>
    <row r="33" spans="1:6" ht="19.5" customHeight="1">
      <c r="A33" s="113" t="s">
        <v>1189</v>
      </c>
      <c r="B33" s="116"/>
      <c r="C33" s="117" t="s">
        <v>1255</v>
      </c>
      <c r="D33" s="116"/>
      <c r="E33" s="130"/>
      <c r="F33" s="130"/>
    </row>
    <row r="34" spans="1:6" ht="19.5" customHeight="1">
      <c r="A34" s="113" t="s">
        <v>1191</v>
      </c>
      <c r="B34" s="116"/>
      <c r="C34" s="117" t="s">
        <v>1256</v>
      </c>
      <c r="D34" s="116"/>
      <c r="E34" s="130"/>
      <c r="F34" s="130"/>
    </row>
    <row r="35" spans="1:6" ht="19.5" customHeight="1">
      <c r="A35" s="113" t="s">
        <v>1193</v>
      </c>
      <c r="B35" s="116"/>
      <c r="C35" s="117" t="s">
        <v>1257</v>
      </c>
      <c r="D35" s="116"/>
      <c r="E35" s="130"/>
      <c r="F35" s="130"/>
    </row>
    <row r="36" spans="1:6" ht="19.5" customHeight="1">
      <c r="A36" s="116"/>
      <c r="B36" s="116"/>
      <c r="C36" s="117" t="s">
        <v>1258</v>
      </c>
      <c r="D36" s="116"/>
      <c r="E36" s="130"/>
      <c r="F36" s="130"/>
    </row>
    <row r="37" spans="1:6" ht="19.5" customHeight="1">
      <c r="A37" s="116"/>
      <c r="B37" s="116"/>
      <c r="C37" s="117" t="s">
        <v>1259</v>
      </c>
      <c r="D37" s="116"/>
      <c r="E37" s="130"/>
      <c r="F37" s="130"/>
    </row>
    <row r="38" spans="1:6" ht="19.5" customHeight="1">
      <c r="A38" s="116"/>
      <c r="B38" s="116"/>
      <c r="C38" s="117" t="s">
        <v>1260</v>
      </c>
      <c r="D38" s="116"/>
      <c r="E38" s="130"/>
      <c r="F38" s="130"/>
    </row>
    <row r="39" spans="1:6" s="125" customFormat="1" ht="19.5" customHeight="1">
      <c r="A39" s="115"/>
      <c r="B39" s="116"/>
      <c r="C39" s="134" t="s">
        <v>1261</v>
      </c>
      <c r="D39" s="116"/>
      <c r="E39" s="135"/>
      <c r="F39" s="135"/>
    </row>
    <row r="40" spans="1:6" ht="19.5" customHeight="1">
      <c r="A40" s="115"/>
      <c r="B40" s="116"/>
      <c r="C40" s="134" t="s">
        <v>1262</v>
      </c>
      <c r="D40" s="116"/>
      <c r="E40" s="130"/>
      <c r="F40" s="130"/>
    </row>
    <row r="41" spans="1:6" ht="19.5" customHeight="1">
      <c r="A41" s="115"/>
      <c r="B41" s="116"/>
      <c r="C41" s="117" t="s">
        <v>1263</v>
      </c>
      <c r="D41" s="116"/>
      <c r="E41" s="130"/>
      <c r="F41" s="130"/>
    </row>
    <row r="42" spans="1:6" ht="19.5" customHeight="1">
      <c r="A42" s="115"/>
      <c r="B42" s="116"/>
      <c r="C42" s="113" t="s">
        <v>1176</v>
      </c>
      <c r="D42" s="114">
        <f>SUM(D43:D47)</f>
        <v>0</v>
      </c>
      <c r="E42" s="130"/>
      <c r="F42" s="130"/>
    </row>
    <row r="43" spans="1:6" ht="19.5" customHeight="1">
      <c r="A43" s="115"/>
      <c r="B43" s="116"/>
      <c r="C43" s="117" t="s">
        <v>1264</v>
      </c>
      <c r="D43" s="116"/>
      <c r="E43" s="130"/>
      <c r="F43" s="130"/>
    </row>
    <row r="44" spans="1:6" ht="19.5" customHeight="1">
      <c r="A44" s="115"/>
      <c r="B44" s="116"/>
      <c r="C44" s="117" t="s">
        <v>1265</v>
      </c>
      <c r="D44" s="116"/>
      <c r="E44" s="130"/>
      <c r="F44" s="130"/>
    </row>
    <row r="45" spans="1:6" ht="19.5" customHeight="1">
      <c r="A45" s="115"/>
      <c r="B45" s="116"/>
      <c r="C45" s="117" t="s">
        <v>1266</v>
      </c>
      <c r="D45" s="116"/>
      <c r="E45" s="130"/>
      <c r="F45" s="130"/>
    </row>
    <row r="46" spans="1:6" ht="19.5" customHeight="1">
      <c r="A46" s="115"/>
      <c r="B46" s="116"/>
      <c r="C46" s="117" t="s">
        <v>1267</v>
      </c>
      <c r="D46" s="116"/>
      <c r="E46" s="130"/>
      <c r="F46" s="130"/>
    </row>
    <row r="47" spans="1:6" ht="19.5" customHeight="1">
      <c r="A47" s="115"/>
      <c r="B47" s="116"/>
      <c r="C47" s="117" t="s">
        <v>1268</v>
      </c>
      <c r="D47" s="116"/>
      <c r="E47" s="130"/>
      <c r="F47" s="130"/>
    </row>
    <row r="48" spans="1:6" ht="19.5" customHeight="1">
      <c r="A48" s="115"/>
      <c r="B48" s="116"/>
      <c r="C48" s="113" t="s">
        <v>1178</v>
      </c>
      <c r="D48" s="114">
        <f aca="true" t="shared" si="4" ref="D48:F48">SUM(D49:D51)</f>
        <v>8</v>
      </c>
      <c r="E48" s="114">
        <f t="shared" si="4"/>
        <v>0</v>
      </c>
      <c r="F48" s="114">
        <f t="shared" si="4"/>
        <v>8</v>
      </c>
    </row>
    <row r="49" spans="1:6" ht="19.5" customHeight="1">
      <c r="A49" s="115"/>
      <c r="B49" s="116"/>
      <c r="C49" s="117" t="s">
        <v>1252</v>
      </c>
      <c r="D49" s="116">
        <v>8</v>
      </c>
      <c r="E49" s="130"/>
      <c r="F49" s="130">
        <v>8</v>
      </c>
    </row>
    <row r="50" spans="1:6" ht="19.5" customHeight="1">
      <c r="A50" s="115"/>
      <c r="B50" s="116"/>
      <c r="C50" s="117" t="s">
        <v>1253</v>
      </c>
      <c r="D50" s="116"/>
      <c r="E50" s="130"/>
      <c r="F50" s="130"/>
    </row>
    <row r="51" spans="1:6" ht="19.5" customHeight="1">
      <c r="A51" s="113"/>
      <c r="B51" s="116"/>
      <c r="C51" s="117" t="s">
        <v>1269</v>
      </c>
      <c r="D51" s="116"/>
      <c r="E51" s="130"/>
      <c r="F51" s="130"/>
    </row>
    <row r="52" spans="1:6" ht="19.5" customHeight="1">
      <c r="A52" s="113"/>
      <c r="B52" s="116"/>
      <c r="C52" s="113" t="s">
        <v>1180</v>
      </c>
      <c r="D52" s="116">
        <v>38</v>
      </c>
      <c r="E52" s="130"/>
      <c r="F52" s="130">
        <v>38</v>
      </c>
    </row>
    <row r="53" spans="1:6" ht="19.5" customHeight="1">
      <c r="A53" s="113"/>
      <c r="B53" s="116"/>
      <c r="C53" s="113" t="s">
        <v>1182</v>
      </c>
      <c r="D53" s="114">
        <f aca="true" t="shared" si="5" ref="D53:F53">SUM(D54:D58)</f>
        <v>153</v>
      </c>
      <c r="E53" s="114">
        <f t="shared" si="5"/>
        <v>65</v>
      </c>
      <c r="F53" s="114">
        <f t="shared" si="5"/>
        <v>88</v>
      </c>
    </row>
    <row r="54" spans="1:6" ht="19.5" customHeight="1">
      <c r="A54" s="113"/>
      <c r="B54" s="116"/>
      <c r="C54" s="117" t="s">
        <v>1264</v>
      </c>
      <c r="D54" s="116">
        <v>153</v>
      </c>
      <c r="E54" s="130">
        <v>65</v>
      </c>
      <c r="F54" s="130">
        <v>88</v>
      </c>
    </row>
    <row r="55" spans="1:6" ht="19.5" customHeight="1">
      <c r="A55" s="113"/>
      <c r="B55" s="116"/>
      <c r="C55" s="117" t="s">
        <v>1265</v>
      </c>
      <c r="D55" s="116"/>
      <c r="E55" s="130"/>
      <c r="F55" s="130"/>
    </row>
    <row r="56" spans="1:6" ht="19.5" customHeight="1">
      <c r="A56" s="113"/>
      <c r="B56" s="116"/>
      <c r="C56" s="117" t="s">
        <v>1266</v>
      </c>
      <c r="D56" s="116"/>
      <c r="E56" s="130"/>
      <c r="F56" s="130"/>
    </row>
    <row r="57" spans="1:6" ht="19.5" customHeight="1">
      <c r="A57" s="113"/>
      <c r="B57" s="116"/>
      <c r="C57" s="117" t="s">
        <v>1267</v>
      </c>
      <c r="D57" s="116"/>
      <c r="E57" s="130"/>
      <c r="F57" s="130"/>
    </row>
    <row r="58" spans="1:6" ht="19.5" customHeight="1">
      <c r="A58" s="113"/>
      <c r="B58" s="116"/>
      <c r="C58" s="117" t="s">
        <v>1270</v>
      </c>
      <c r="D58" s="116"/>
      <c r="E58" s="130"/>
      <c r="F58" s="130"/>
    </row>
    <row r="59" spans="1:6" ht="19.5" customHeight="1">
      <c r="A59" s="113"/>
      <c r="B59" s="116"/>
      <c r="C59" s="113" t="s">
        <v>1184</v>
      </c>
      <c r="D59" s="116">
        <v>85</v>
      </c>
      <c r="E59" s="130">
        <v>39</v>
      </c>
      <c r="F59" s="130">
        <v>46</v>
      </c>
    </row>
    <row r="60" spans="1:6" ht="19.5" customHeight="1">
      <c r="A60" s="113"/>
      <c r="B60" s="116"/>
      <c r="C60" s="113" t="s">
        <v>1186</v>
      </c>
      <c r="D60" s="114">
        <f aca="true" t="shared" si="6" ref="D60:F60">SUM(D61,D67,D72,D77)</f>
        <v>0</v>
      </c>
      <c r="E60" s="114">
        <f t="shared" si="6"/>
        <v>0</v>
      </c>
      <c r="F60" s="114">
        <f t="shared" si="6"/>
        <v>0</v>
      </c>
    </row>
    <row r="61" spans="1:6" ht="19.5" customHeight="1">
      <c r="A61" s="113"/>
      <c r="B61" s="116"/>
      <c r="C61" s="117" t="s">
        <v>1188</v>
      </c>
      <c r="D61" s="114">
        <f aca="true" t="shared" si="7" ref="D61:F61">SUM(D62:D66)</f>
        <v>0</v>
      </c>
      <c r="E61" s="114">
        <f t="shared" si="7"/>
        <v>0</v>
      </c>
      <c r="F61" s="114">
        <f t="shared" si="7"/>
        <v>0</v>
      </c>
    </row>
    <row r="62" spans="1:6" ht="19.5" customHeight="1">
      <c r="A62" s="113"/>
      <c r="B62" s="136"/>
      <c r="C62" s="116" t="s">
        <v>1271</v>
      </c>
      <c r="D62" s="116"/>
      <c r="E62" s="130"/>
      <c r="F62" s="130"/>
    </row>
    <row r="63" spans="1:6" ht="19.5" customHeight="1">
      <c r="A63" s="113"/>
      <c r="B63" s="116"/>
      <c r="C63" s="116" t="s">
        <v>1272</v>
      </c>
      <c r="D63" s="116"/>
      <c r="E63" s="130"/>
      <c r="F63" s="130"/>
    </row>
    <row r="64" spans="1:6" ht="19.5" customHeight="1">
      <c r="A64" s="113"/>
      <c r="B64" s="116"/>
      <c r="C64" s="116" t="s">
        <v>1273</v>
      </c>
      <c r="D64" s="116"/>
      <c r="E64" s="130"/>
      <c r="F64" s="130"/>
    </row>
    <row r="65" spans="1:6" ht="19.5" customHeight="1">
      <c r="A65" s="113"/>
      <c r="B65" s="116"/>
      <c r="C65" s="116" t="s">
        <v>1274</v>
      </c>
      <c r="D65" s="116"/>
      <c r="E65" s="130"/>
      <c r="F65" s="130"/>
    </row>
    <row r="66" spans="1:6" ht="19.5" customHeight="1">
      <c r="A66" s="113"/>
      <c r="B66" s="116"/>
      <c r="C66" s="116" t="s">
        <v>1275</v>
      </c>
      <c r="D66" s="116"/>
      <c r="E66" s="130"/>
      <c r="F66" s="130"/>
    </row>
    <row r="67" spans="1:6" ht="19.5" customHeight="1">
      <c r="A67" s="113"/>
      <c r="B67" s="116"/>
      <c r="C67" s="117" t="s">
        <v>1276</v>
      </c>
      <c r="D67" s="114">
        <f>SUM(D68:D71)</f>
        <v>0</v>
      </c>
      <c r="E67" s="130"/>
      <c r="F67" s="130"/>
    </row>
    <row r="68" spans="1:6" ht="19.5" customHeight="1">
      <c r="A68" s="113"/>
      <c r="B68" s="116"/>
      <c r="C68" s="117" t="s">
        <v>1236</v>
      </c>
      <c r="D68" s="116"/>
      <c r="E68" s="130"/>
      <c r="F68" s="130"/>
    </row>
    <row r="69" spans="1:6" ht="19.5" customHeight="1">
      <c r="A69" s="113"/>
      <c r="B69" s="116"/>
      <c r="C69" s="117" t="s">
        <v>1277</v>
      </c>
      <c r="D69" s="116"/>
      <c r="E69" s="130"/>
      <c r="F69" s="130"/>
    </row>
    <row r="70" spans="1:6" ht="19.5" customHeight="1">
      <c r="A70" s="113"/>
      <c r="B70" s="116"/>
      <c r="C70" s="117" t="s">
        <v>1278</v>
      </c>
      <c r="D70" s="116"/>
      <c r="E70" s="130"/>
      <c r="F70" s="130"/>
    </row>
    <row r="71" spans="1:6" ht="19.5" customHeight="1">
      <c r="A71" s="113"/>
      <c r="B71" s="116"/>
      <c r="C71" s="117" t="s">
        <v>1279</v>
      </c>
      <c r="D71" s="116"/>
      <c r="E71" s="130"/>
      <c r="F71" s="130"/>
    </row>
    <row r="72" spans="1:6" ht="19.5" customHeight="1">
      <c r="A72" s="113"/>
      <c r="B72" s="116"/>
      <c r="C72" s="117" t="s">
        <v>1192</v>
      </c>
      <c r="D72" s="114">
        <f>SUM(D73:D76)</f>
        <v>0</v>
      </c>
      <c r="E72" s="130"/>
      <c r="F72" s="130"/>
    </row>
    <row r="73" spans="1:6" ht="19.5" customHeight="1">
      <c r="A73" s="113"/>
      <c r="B73" s="116"/>
      <c r="C73" s="117" t="s">
        <v>1236</v>
      </c>
      <c r="D73" s="116"/>
      <c r="E73" s="130"/>
      <c r="F73" s="130"/>
    </row>
    <row r="74" spans="1:6" ht="19.5" customHeight="1">
      <c r="A74" s="113"/>
      <c r="B74" s="116"/>
      <c r="C74" s="117" t="s">
        <v>1277</v>
      </c>
      <c r="D74" s="116"/>
      <c r="E74" s="130"/>
      <c r="F74" s="130"/>
    </row>
    <row r="75" spans="1:6" ht="19.5" customHeight="1">
      <c r="A75" s="113"/>
      <c r="B75" s="116"/>
      <c r="C75" s="117" t="s">
        <v>1280</v>
      </c>
      <c r="D75" s="116"/>
      <c r="E75" s="130"/>
      <c r="F75" s="130"/>
    </row>
    <row r="76" spans="1:6" ht="19.5" customHeight="1">
      <c r="A76" s="113"/>
      <c r="B76" s="116"/>
      <c r="C76" s="117" t="s">
        <v>1281</v>
      </c>
      <c r="D76" s="116"/>
      <c r="E76" s="130"/>
      <c r="F76" s="130"/>
    </row>
    <row r="77" spans="1:6" ht="19.5" customHeight="1">
      <c r="A77" s="113"/>
      <c r="B77" s="116"/>
      <c r="C77" s="117" t="s">
        <v>1194</v>
      </c>
      <c r="D77" s="114">
        <f>SUM(D78:D81)</f>
        <v>0</v>
      </c>
      <c r="E77" s="130"/>
      <c r="F77" s="130"/>
    </row>
    <row r="78" spans="1:6" ht="19.5" customHeight="1">
      <c r="A78" s="113"/>
      <c r="B78" s="116"/>
      <c r="C78" s="117" t="s">
        <v>1282</v>
      </c>
      <c r="D78" s="116"/>
      <c r="E78" s="130"/>
      <c r="F78" s="130"/>
    </row>
    <row r="79" spans="1:6" ht="19.5" customHeight="1">
      <c r="A79" s="113"/>
      <c r="B79" s="116"/>
      <c r="C79" s="117" t="s">
        <v>1283</v>
      </c>
      <c r="D79" s="116"/>
      <c r="E79" s="130"/>
      <c r="F79" s="130"/>
    </row>
    <row r="80" spans="1:6" ht="19.5" customHeight="1">
      <c r="A80" s="113"/>
      <c r="B80" s="116"/>
      <c r="C80" s="117" t="s">
        <v>1284</v>
      </c>
      <c r="D80" s="116"/>
      <c r="E80" s="130"/>
      <c r="F80" s="130"/>
    </row>
    <row r="81" spans="1:6" ht="19.5" customHeight="1">
      <c r="A81" s="113"/>
      <c r="B81" s="116"/>
      <c r="C81" s="117" t="s">
        <v>1285</v>
      </c>
      <c r="D81" s="116"/>
      <c r="E81" s="130"/>
      <c r="F81" s="130"/>
    </row>
    <row r="82" spans="1:6" ht="19.5" customHeight="1">
      <c r="A82" s="113"/>
      <c r="B82" s="116"/>
      <c r="C82" s="115" t="s">
        <v>1195</v>
      </c>
      <c r="D82" s="114">
        <f aca="true" t="shared" si="8" ref="D82:F82">SUM(D83,D88,D93,D98,D107,D114,)</f>
        <v>0</v>
      </c>
      <c r="E82" s="114">
        <f t="shared" si="8"/>
        <v>0</v>
      </c>
      <c r="F82" s="114">
        <f t="shared" si="8"/>
        <v>0</v>
      </c>
    </row>
    <row r="83" spans="1:6" ht="19.5" customHeight="1">
      <c r="A83" s="113"/>
      <c r="B83" s="116"/>
      <c r="C83" s="117" t="s">
        <v>1196</v>
      </c>
      <c r="D83" s="114">
        <f aca="true" t="shared" si="9" ref="D83:F83">SUM(D84:D87)</f>
        <v>0</v>
      </c>
      <c r="E83" s="114">
        <f t="shared" si="9"/>
        <v>0</v>
      </c>
      <c r="F83" s="114">
        <f t="shared" si="9"/>
        <v>0</v>
      </c>
    </row>
    <row r="84" spans="1:6" ht="19.5" customHeight="1">
      <c r="A84" s="113"/>
      <c r="B84" s="116"/>
      <c r="C84" s="117" t="s">
        <v>1286</v>
      </c>
      <c r="D84" s="116"/>
      <c r="E84" s="130"/>
      <c r="F84" s="130"/>
    </row>
    <row r="85" spans="1:6" ht="19.5" customHeight="1">
      <c r="A85" s="113"/>
      <c r="B85" s="116"/>
      <c r="C85" s="117" t="s">
        <v>1287</v>
      </c>
      <c r="D85" s="116"/>
      <c r="E85" s="130"/>
      <c r="F85" s="130"/>
    </row>
    <row r="86" spans="1:6" ht="19.5" customHeight="1">
      <c r="A86" s="113"/>
      <c r="B86" s="116"/>
      <c r="C86" s="117" t="s">
        <v>1288</v>
      </c>
      <c r="D86" s="116"/>
      <c r="E86" s="130"/>
      <c r="F86" s="130"/>
    </row>
    <row r="87" spans="1:6" ht="19.5" customHeight="1">
      <c r="A87" s="113"/>
      <c r="B87" s="116"/>
      <c r="C87" s="117" t="s">
        <v>1289</v>
      </c>
      <c r="D87" s="116"/>
      <c r="E87" s="130"/>
      <c r="F87" s="130"/>
    </row>
    <row r="88" spans="1:6" ht="19.5" customHeight="1">
      <c r="A88" s="113"/>
      <c r="B88" s="116"/>
      <c r="C88" s="117" t="s">
        <v>1197</v>
      </c>
      <c r="D88" s="114">
        <f>SUM(D89:D92)</f>
        <v>0</v>
      </c>
      <c r="E88" s="130"/>
      <c r="F88" s="130"/>
    </row>
    <row r="89" spans="1:6" ht="19.5" customHeight="1">
      <c r="A89" s="113"/>
      <c r="B89" s="116"/>
      <c r="C89" s="117" t="s">
        <v>1288</v>
      </c>
      <c r="D89" s="116"/>
      <c r="E89" s="130"/>
      <c r="F89" s="130"/>
    </row>
    <row r="90" spans="1:6" ht="19.5" customHeight="1">
      <c r="A90" s="113"/>
      <c r="B90" s="116"/>
      <c r="C90" s="117" t="s">
        <v>1290</v>
      </c>
      <c r="D90" s="116"/>
      <c r="E90" s="130"/>
      <c r="F90" s="130"/>
    </row>
    <row r="91" spans="1:6" ht="19.5" customHeight="1">
      <c r="A91" s="113"/>
      <c r="B91" s="116"/>
      <c r="C91" s="117" t="s">
        <v>1291</v>
      </c>
      <c r="D91" s="116"/>
      <c r="E91" s="130"/>
      <c r="F91" s="130"/>
    </row>
    <row r="92" spans="1:6" ht="19.5" customHeight="1">
      <c r="A92" s="113"/>
      <c r="B92" s="116"/>
      <c r="C92" s="117" t="s">
        <v>1292</v>
      </c>
      <c r="D92" s="116"/>
      <c r="E92" s="130"/>
      <c r="F92" s="130"/>
    </row>
    <row r="93" spans="1:6" ht="19.5" customHeight="1">
      <c r="A93" s="113"/>
      <c r="B93" s="116"/>
      <c r="C93" s="117" t="s">
        <v>1198</v>
      </c>
      <c r="D93" s="114">
        <f>SUM(D94:D97)</f>
        <v>0</v>
      </c>
      <c r="E93" s="130"/>
      <c r="F93" s="130"/>
    </row>
    <row r="94" spans="1:6" ht="19.5" customHeight="1">
      <c r="A94" s="113"/>
      <c r="B94" s="116"/>
      <c r="C94" s="117" t="s">
        <v>1293</v>
      </c>
      <c r="D94" s="116"/>
      <c r="E94" s="130"/>
      <c r="F94" s="130"/>
    </row>
    <row r="95" spans="1:6" ht="19.5" customHeight="1">
      <c r="A95" s="113"/>
      <c r="B95" s="116"/>
      <c r="C95" s="117" t="s">
        <v>1294</v>
      </c>
      <c r="D95" s="116"/>
      <c r="E95" s="130"/>
      <c r="F95" s="130"/>
    </row>
    <row r="96" spans="1:6" ht="19.5" customHeight="1">
      <c r="A96" s="113"/>
      <c r="B96" s="116"/>
      <c r="C96" s="117" t="s">
        <v>1295</v>
      </c>
      <c r="D96" s="116"/>
      <c r="E96" s="130"/>
      <c r="F96" s="130"/>
    </row>
    <row r="97" spans="1:6" ht="19.5" customHeight="1">
      <c r="A97" s="113"/>
      <c r="B97" s="116"/>
      <c r="C97" s="117" t="s">
        <v>1296</v>
      </c>
      <c r="D97" s="116"/>
      <c r="E97" s="130"/>
      <c r="F97" s="130"/>
    </row>
    <row r="98" spans="1:6" ht="19.5" customHeight="1">
      <c r="A98" s="113"/>
      <c r="B98" s="116"/>
      <c r="C98" s="117" t="s">
        <v>1199</v>
      </c>
      <c r="D98" s="114">
        <f>SUM(D99:D106)</f>
        <v>0</v>
      </c>
      <c r="E98" s="130"/>
      <c r="F98" s="130"/>
    </row>
    <row r="99" spans="1:6" ht="19.5" customHeight="1">
      <c r="A99" s="113"/>
      <c r="B99" s="116"/>
      <c r="C99" s="117" t="s">
        <v>1297</v>
      </c>
      <c r="D99" s="116"/>
      <c r="E99" s="130"/>
      <c r="F99" s="130"/>
    </row>
    <row r="100" spans="1:6" ht="19.5" customHeight="1">
      <c r="A100" s="113"/>
      <c r="B100" s="116"/>
      <c r="C100" s="117" t="s">
        <v>1298</v>
      </c>
      <c r="D100" s="116"/>
      <c r="E100" s="130"/>
      <c r="F100" s="130"/>
    </row>
    <row r="101" spans="1:6" ht="19.5" customHeight="1">
      <c r="A101" s="113"/>
      <c r="B101" s="116"/>
      <c r="C101" s="117" t="s">
        <v>1299</v>
      </c>
      <c r="D101" s="116"/>
      <c r="E101" s="130"/>
      <c r="F101" s="130"/>
    </row>
    <row r="102" spans="1:6" ht="19.5" customHeight="1">
      <c r="A102" s="113"/>
      <c r="B102" s="116"/>
      <c r="C102" s="117" t="s">
        <v>1300</v>
      </c>
      <c r="D102" s="116"/>
      <c r="E102" s="130"/>
      <c r="F102" s="130"/>
    </row>
    <row r="103" spans="1:6" ht="19.5" customHeight="1">
      <c r="A103" s="113"/>
      <c r="B103" s="116"/>
      <c r="C103" s="117" t="s">
        <v>1301</v>
      </c>
      <c r="D103" s="116"/>
      <c r="E103" s="130"/>
      <c r="F103" s="130"/>
    </row>
    <row r="104" spans="1:6" ht="19.5" customHeight="1">
      <c r="A104" s="113"/>
      <c r="B104" s="116"/>
      <c r="C104" s="117" t="s">
        <v>1302</v>
      </c>
      <c r="D104" s="116"/>
      <c r="E104" s="130"/>
      <c r="F104" s="130"/>
    </row>
    <row r="105" spans="1:6" ht="19.5" customHeight="1">
      <c r="A105" s="113"/>
      <c r="B105" s="116"/>
      <c r="C105" s="117" t="s">
        <v>1303</v>
      </c>
      <c r="D105" s="116"/>
      <c r="E105" s="130"/>
      <c r="F105" s="130"/>
    </row>
    <row r="106" spans="1:6" ht="19.5" customHeight="1">
      <c r="A106" s="113"/>
      <c r="B106" s="116"/>
      <c r="C106" s="117" t="s">
        <v>1304</v>
      </c>
      <c r="D106" s="116"/>
      <c r="E106" s="130"/>
      <c r="F106" s="130"/>
    </row>
    <row r="107" spans="1:6" ht="19.5" customHeight="1">
      <c r="A107" s="113"/>
      <c r="B107" s="116"/>
      <c r="C107" s="117" t="s">
        <v>1200</v>
      </c>
      <c r="D107" s="114">
        <f>SUM(D108:D113)</f>
        <v>0</v>
      </c>
      <c r="E107" s="130"/>
      <c r="F107" s="130"/>
    </row>
    <row r="108" spans="1:6" ht="19.5" customHeight="1">
      <c r="A108" s="113"/>
      <c r="B108" s="116"/>
      <c r="C108" s="117" t="s">
        <v>1305</v>
      </c>
      <c r="D108" s="116"/>
      <c r="E108" s="130"/>
      <c r="F108" s="130"/>
    </row>
    <row r="109" spans="1:6" ht="19.5" customHeight="1">
      <c r="A109" s="113"/>
      <c r="B109" s="116"/>
      <c r="C109" s="117" t="s">
        <v>1306</v>
      </c>
      <c r="D109" s="116"/>
      <c r="E109" s="130"/>
      <c r="F109" s="130"/>
    </row>
    <row r="110" spans="1:6" ht="19.5" customHeight="1">
      <c r="A110" s="113"/>
      <c r="B110" s="116"/>
      <c r="C110" s="117" t="s">
        <v>1307</v>
      </c>
      <c r="D110" s="116"/>
      <c r="E110" s="130"/>
      <c r="F110" s="130"/>
    </row>
    <row r="111" spans="1:6" ht="19.5" customHeight="1">
      <c r="A111" s="113"/>
      <c r="B111" s="116"/>
      <c r="C111" s="117" t="s">
        <v>1308</v>
      </c>
      <c r="D111" s="116"/>
      <c r="E111" s="130"/>
      <c r="F111" s="130"/>
    </row>
    <row r="112" spans="1:6" ht="19.5" customHeight="1">
      <c r="A112" s="113"/>
      <c r="B112" s="116"/>
      <c r="C112" s="117" t="s">
        <v>1309</v>
      </c>
      <c r="D112" s="116"/>
      <c r="E112" s="130"/>
      <c r="F112" s="130"/>
    </row>
    <row r="113" spans="1:6" ht="19.5" customHeight="1">
      <c r="A113" s="113"/>
      <c r="B113" s="116"/>
      <c r="C113" s="117" t="s">
        <v>1310</v>
      </c>
      <c r="D113" s="116"/>
      <c r="E113" s="130"/>
      <c r="F113" s="130"/>
    </row>
    <row r="114" spans="1:6" ht="19.5" customHeight="1">
      <c r="A114" s="113"/>
      <c r="B114" s="116"/>
      <c r="C114" s="117" t="s">
        <v>1201</v>
      </c>
      <c r="D114" s="114">
        <f>SUM(D115:D122)</f>
        <v>0</v>
      </c>
      <c r="E114" s="130"/>
      <c r="F114" s="130"/>
    </row>
    <row r="115" spans="1:6" ht="19.5" customHeight="1">
      <c r="A115" s="113"/>
      <c r="B115" s="116"/>
      <c r="C115" s="117" t="s">
        <v>1311</v>
      </c>
      <c r="D115" s="116"/>
      <c r="E115" s="130"/>
      <c r="F115" s="130"/>
    </row>
    <row r="116" spans="1:6" ht="19.5" customHeight="1">
      <c r="A116" s="113"/>
      <c r="B116" s="116"/>
      <c r="C116" s="117" t="s">
        <v>1312</v>
      </c>
      <c r="D116" s="116"/>
      <c r="E116" s="130"/>
      <c r="F116" s="130"/>
    </row>
    <row r="117" spans="1:6" ht="19.5" customHeight="1">
      <c r="A117" s="113"/>
      <c r="B117" s="116"/>
      <c r="C117" s="117" t="s">
        <v>1313</v>
      </c>
      <c r="D117" s="116"/>
      <c r="E117" s="130"/>
      <c r="F117" s="130"/>
    </row>
    <row r="118" spans="1:6" ht="19.5" customHeight="1">
      <c r="A118" s="113"/>
      <c r="B118" s="116"/>
      <c r="C118" s="117" t="s">
        <v>1314</v>
      </c>
      <c r="D118" s="116"/>
      <c r="E118" s="130"/>
      <c r="F118" s="130"/>
    </row>
    <row r="119" spans="1:6" ht="19.5" customHeight="1">
      <c r="A119" s="113"/>
      <c r="B119" s="116"/>
      <c r="C119" s="117" t="s">
        <v>1315</v>
      </c>
      <c r="D119" s="116"/>
      <c r="E119" s="130"/>
      <c r="F119" s="130"/>
    </row>
    <row r="120" spans="1:6" ht="19.5" customHeight="1">
      <c r="A120" s="113"/>
      <c r="B120" s="116"/>
      <c r="C120" s="117" t="s">
        <v>1316</v>
      </c>
      <c r="D120" s="116"/>
      <c r="E120" s="130"/>
      <c r="F120" s="130"/>
    </row>
    <row r="121" spans="1:6" ht="19.5" customHeight="1">
      <c r="A121" s="113"/>
      <c r="B121" s="116"/>
      <c r="C121" s="117" t="s">
        <v>1317</v>
      </c>
      <c r="D121" s="116"/>
      <c r="E121" s="130"/>
      <c r="F121" s="130"/>
    </row>
    <row r="122" spans="1:6" ht="19.5" customHeight="1">
      <c r="A122" s="113"/>
      <c r="B122" s="116"/>
      <c r="C122" s="117" t="s">
        <v>1318</v>
      </c>
      <c r="D122" s="116"/>
      <c r="E122" s="130"/>
      <c r="F122" s="130"/>
    </row>
    <row r="123" spans="1:6" ht="19.5" customHeight="1">
      <c r="A123" s="113"/>
      <c r="B123" s="116"/>
      <c r="C123" s="115" t="s">
        <v>1202</v>
      </c>
      <c r="D123" s="114">
        <f aca="true" t="shared" si="10" ref="D123:F123">SUM(D124,D131,D137)</f>
        <v>30</v>
      </c>
      <c r="E123" s="114">
        <f t="shared" si="10"/>
        <v>30</v>
      </c>
      <c r="F123" s="114">
        <f t="shared" si="10"/>
        <v>0</v>
      </c>
    </row>
    <row r="124" spans="1:6" ht="19.5" customHeight="1">
      <c r="A124" s="113"/>
      <c r="B124" s="116"/>
      <c r="C124" s="117" t="s">
        <v>1203</v>
      </c>
      <c r="D124" s="114">
        <f aca="true" t="shared" si="11" ref="D124:F124">SUM(D125:D130)</f>
        <v>0</v>
      </c>
      <c r="E124" s="114">
        <f t="shared" si="11"/>
        <v>0</v>
      </c>
      <c r="F124" s="114">
        <f t="shared" si="11"/>
        <v>0</v>
      </c>
    </row>
    <row r="125" spans="1:6" ht="19.5" customHeight="1">
      <c r="A125" s="113"/>
      <c r="B125" s="116"/>
      <c r="C125" s="117" t="s">
        <v>1319</v>
      </c>
      <c r="D125" s="116"/>
      <c r="E125" s="130"/>
      <c r="F125" s="130"/>
    </row>
    <row r="126" spans="1:6" ht="19.5" customHeight="1">
      <c r="A126" s="113"/>
      <c r="B126" s="116"/>
      <c r="C126" s="117" t="s">
        <v>1320</v>
      </c>
      <c r="D126" s="116"/>
      <c r="E126" s="130"/>
      <c r="F126" s="130"/>
    </row>
    <row r="127" spans="1:6" ht="19.5" customHeight="1">
      <c r="A127" s="113"/>
      <c r="B127" s="116"/>
      <c r="C127" s="117" t="s">
        <v>1321</v>
      </c>
      <c r="D127" s="116"/>
      <c r="E127" s="130"/>
      <c r="F127" s="130"/>
    </row>
    <row r="128" spans="1:6" ht="19.5" customHeight="1">
      <c r="A128" s="113"/>
      <c r="B128" s="116"/>
      <c r="C128" s="117" t="s">
        <v>1322</v>
      </c>
      <c r="D128" s="116"/>
      <c r="E128" s="130"/>
      <c r="F128" s="130"/>
    </row>
    <row r="129" spans="1:6" ht="19.5" customHeight="1">
      <c r="A129" s="113"/>
      <c r="B129" s="116"/>
      <c r="C129" s="117" t="s">
        <v>1323</v>
      </c>
      <c r="D129" s="116"/>
      <c r="E129" s="130"/>
      <c r="F129" s="130"/>
    </row>
    <row r="130" spans="1:6" ht="19.5" customHeight="1">
      <c r="A130" s="113"/>
      <c r="B130" s="116"/>
      <c r="C130" s="117" t="s">
        <v>1324</v>
      </c>
      <c r="D130" s="116"/>
      <c r="E130" s="130"/>
      <c r="F130" s="130"/>
    </row>
    <row r="131" spans="1:6" ht="19.5" customHeight="1">
      <c r="A131" s="113"/>
      <c r="B131" s="116"/>
      <c r="C131" s="117" t="s">
        <v>1204</v>
      </c>
      <c r="D131" s="114">
        <f aca="true" t="shared" si="12" ref="D131:F131">SUM(D132:D136)</f>
        <v>30</v>
      </c>
      <c r="E131" s="114">
        <f t="shared" si="12"/>
        <v>30</v>
      </c>
      <c r="F131" s="114">
        <f t="shared" si="12"/>
        <v>0</v>
      </c>
    </row>
    <row r="132" spans="1:6" ht="19.5" customHeight="1">
      <c r="A132" s="113"/>
      <c r="B132" s="116"/>
      <c r="C132" s="117" t="s">
        <v>1325</v>
      </c>
      <c r="D132" s="116"/>
      <c r="E132" s="130"/>
      <c r="F132" s="130"/>
    </row>
    <row r="133" spans="1:6" ht="19.5" customHeight="1">
      <c r="A133" s="113"/>
      <c r="B133" s="116"/>
      <c r="C133" s="117" t="s">
        <v>1326</v>
      </c>
      <c r="D133" s="116"/>
      <c r="E133" s="130"/>
      <c r="F133" s="130"/>
    </row>
    <row r="134" spans="1:6" ht="19.5" customHeight="1">
      <c r="A134" s="113"/>
      <c r="B134" s="116"/>
      <c r="C134" s="117" t="s">
        <v>1327</v>
      </c>
      <c r="D134" s="116"/>
      <c r="E134" s="130"/>
      <c r="F134" s="130"/>
    </row>
    <row r="135" spans="1:6" ht="19.5" customHeight="1">
      <c r="A135" s="113"/>
      <c r="B135" s="116"/>
      <c r="C135" s="117" t="s">
        <v>1328</v>
      </c>
      <c r="D135" s="116"/>
      <c r="E135" s="130"/>
      <c r="F135" s="130"/>
    </row>
    <row r="136" spans="1:6" ht="19.5" customHeight="1">
      <c r="A136" s="113"/>
      <c r="B136" s="116"/>
      <c r="C136" s="117" t="s">
        <v>1329</v>
      </c>
      <c r="D136" s="116">
        <v>30</v>
      </c>
      <c r="E136" s="130">
        <v>30</v>
      </c>
      <c r="F136" s="130"/>
    </row>
    <row r="137" spans="1:6" ht="19.5" customHeight="1">
      <c r="A137" s="113"/>
      <c r="B137" s="116"/>
      <c r="C137" s="117" t="s">
        <v>1205</v>
      </c>
      <c r="D137" s="114">
        <f>SUM(D138:D139)</f>
        <v>0</v>
      </c>
      <c r="E137" s="130"/>
      <c r="F137" s="130"/>
    </row>
    <row r="138" spans="1:6" ht="19.5" customHeight="1">
      <c r="A138" s="113"/>
      <c r="B138" s="116"/>
      <c r="C138" s="117" t="s">
        <v>1330</v>
      </c>
      <c r="D138" s="116"/>
      <c r="E138" s="130"/>
      <c r="F138" s="130"/>
    </row>
    <row r="139" spans="1:6" ht="19.5" customHeight="1">
      <c r="A139" s="113"/>
      <c r="B139" s="116"/>
      <c r="C139" s="117" t="s">
        <v>1331</v>
      </c>
      <c r="D139" s="116"/>
      <c r="E139" s="130"/>
      <c r="F139" s="130"/>
    </row>
    <row r="140" spans="1:6" ht="19.5" customHeight="1">
      <c r="A140" s="113"/>
      <c r="B140" s="116"/>
      <c r="C140" s="115" t="s">
        <v>1206</v>
      </c>
      <c r="D140" s="114">
        <f>D141</f>
        <v>0</v>
      </c>
      <c r="E140" s="130"/>
      <c r="F140" s="130"/>
    </row>
    <row r="141" spans="1:6" ht="19.5" customHeight="1">
      <c r="A141" s="113"/>
      <c r="B141" s="116"/>
      <c r="C141" s="117" t="s">
        <v>1207</v>
      </c>
      <c r="D141" s="114">
        <f>SUM(D142:D146)</f>
        <v>0</v>
      </c>
      <c r="E141" s="130"/>
      <c r="F141" s="130"/>
    </row>
    <row r="142" spans="1:6" ht="19.5" customHeight="1">
      <c r="A142" s="113"/>
      <c r="B142" s="116"/>
      <c r="C142" s="117" t="s">
        <v>1332</v>
      </c>
      <c r="D142" s="116"/>
      <c r="E142" s="130"/>
      <c r="F142" s="130"/>
    </row>
    <row r="143" spans="1:6" ht="19.5" customHeight="1">
      <c r="A143" s="113"/>
      <c r="B143" s="116"/>
      <c r="C143" s="117" t="s">
        <v>1333</v>
      </c>
      <c r="D143" s="116"/>
      <c r="E143" s="130"/>
      <c r="F143" s="130"/>
    </row>
    <row r="144" spans="1:6" ht="19.5" customHeight="1">
      <c r="A144" s="113"/>
      <c r="B144" s="116"/>
      <c r="C144" s="117" t="s">
        <v>1334</v>
      </c>
      <c r="D144" s="116"/>
      <c r="E144" s="130"/>
      <c r="F144" s="130"/>
    </row>
    <row r="145" spans="1:6" ht="19.5" customHeight="1">
      <c r="A145" s="113"/>
      <c r="B145" s="116"/>
      <c r="C145" s="117" t="s">
        <v>1335</v>
      </c>
      <c r="D145" s="116"/>
      <c r="E145" s="130"/>
      <c r="F145" s="130"/>
    </row>
    <row r="146" spans="1:6" ht="19.5" customHeight="1">
      <c r="A146" s="113"/>
      <c r="B146" s="116"/>
      <c r="C146" s="117" t="s">
        <v>1336</v>
      </c>
      <c r="D146" s="116"/>
      <c r="E146" s="130"/>
      <c r="F146" s="130"/>
    </row>
    <row r="147" spans="1:6" ht="19.5" customHeight="1">
      <c r="A147" s="113"/>
      <c r="B147" s="116"/>
      <c r="C147" s="115" t="s">
        <v>1208</v>
      </c>
      <c r="D147" s="114">
        <f aca="true" t="shared" si="13" ref="D147:F147">SUM(D158,D148:D149)</f>
        <v>182</v>
      </c>
      <c r="E147" s="114">
        <f t="shared" si="13"/>
        <v>0</v>
      </c>
      <c r="F147" s="114">
        <f t="shared" si="13"/>
        <v>161</v>
      </c>
    </row>
    <row r="148" spans="1:6" ht="19.5" customHeight="1">
      <c r="A148" s="113"/>
      <c r="B148" s="116"/>
      <c r="C148" s="117" t="s">
        <v>1209</v>
      </c>
      <c r="D148" s="116">
        <v>7</v>
      </c>
      <c r="E148" s="130"/>
      <c r="F148" s="130">
        <v>7</v>
      </c>
    </row>
    <row r="149" spans="1:6" ht="19.5" customHeight="1">
      <c r="A149" s="113"/>
      <c r="B149" s="116"/>
      <c r="C149" s="117" t="s">
        <v>1210</v>
      </c>
      <c r="D149" s="114">
        <f>SUM(D150:D157)</f>
        <v>0</v>
      </c>
      <c r="E149" s="130"/>
      <c r="F149" s="130"/>
    </row>
    <row r="150" spans="1:6" ht="19.5" customHeight="1">
      <c r="A150" s="113"/>
      <c r="B150" s="116"/>
      <c r="C150" s="134" t="s">
        <v>1337</v>
      </c>
      <c r="D150" s="116"/>
      <c r="E150" s="130"/>
      <c r="F150" s="130"/>
    </row>
    <row r="151" spans="1:6" ht="19.5" customHeight="1">
      <c r="A151" s="113"/>
      <c r="B151" s="116"/>
      <c r="C151" s="117" t="s">
        <v>1338</v>
      </c>
      <c r="D151" s="116"/>
      <c r="E151" s="130"/>
      <c r="F151" s="130"/>
    </row>
    <row r="152" spans="1:6" ht="19.5" customHeight="1">
      <c r="A152" s="113"/>
      <c r="B152" s="116"/>
      <c r="C152" s="117" t="s">
        <v>1339</v>
      </c>
      <c r="D152" s="116"/>
      <c r="E152" s="130"/>
      <c r="F152" s="130"/>
    </row>
    <row r="153" spans="1:6" ht="19.5" customHeight="1">
      <c r="A153" s="113"/>
      <c r="B153" s="116"/>
      <c r="C153" s="117" t="s">
        <v>1340</v>
      </c>
      <c r="D153" s="116"/>
      <c r="E153" s="130"/>
      <c r="F153" s="130"/>
    </row>
    <row r="154" spans="1:6" ht="19.5" customHeight="1">
      <c r="A154" s="113"/>
      <c r="B154" s="116"/>
      <c r="C154" s="117" t="s">
        <v>1341</v>
      </c>
      <c r="D154" s="116"/>
      <c r="E154" s="130"/>
      <c r="F154" s="130"/>
    </row>
    <row r="155" spans="1:6" ht="19.5" customHeight="1">
      <c r="A155" s="113"/>
      <c r="B155" s="116"/>
      <c r="C155" s="117" t="s">
        <v>1342</v>
      </c>
      <c r="D155" s="116"/>
      <c r="E155" s="130"/>
      <c r="F155" s="130"/>
    </row>
    <row r="156" spans="1:6" ht="19.5" customHeight="1">
      <c r="A156" s="113"/>
      <c r="B156" s="116"/>
      <c r="C156" s="117" t="s">
        <v>1343</v>
      </c>
      <c r="D156" s="116"/>
      <c r="E156" s="130"/>
      <c r="F156" s="130"/>
    </row>
    <row r="157" spans="1:6" ht="19.5" customHeight="1">
      <c r="A157" s="113"/>
      <c r="B157" s="116"/>
      <c r="C157" s="117" t="s">
        <v>1344</v>
      </c>
      <c r="D157" s="116"/>
      <c r="E157" s="130"/>
      <c r="F157" s="130"/>
    </row>
    <row r="158" spans="1:6" ht="19.5" customHeight="1">
      <c r="A158" s="113"/>
      <c r="B158" s="116"/>
      <c r="C158" s="117" t="s">
        <v>1211</v>
      </c>
      <c r="D158" s="114">
        <f aca="true" t="shared" si="14" ref="D158:F158">SUM(D159:D168)</f>
        <v>175</v>
      </c>
      <c r="E158" s="114">
        <f t="shared" si="14"/>
        <v>0</v>
      </c>
      <c r="F158" s="114">
        <f t="shared" si="14"/>
        <v>154</v>
      </c>
    </row>
    <row r="159" spans="1:6" ht="19.5" customHeight="1">
      <c r="A159" s="113"/>
      <c r="B159" s="116"/>
      <c r="C159" s="134" t="s">
        <v>1345</v>
      </c>
      <c r="D159" s="116">
        <v>163</v>
      </c>
      <c r="E159" s="130"/>
      <c r="F159" s="130">
        <v>152</v>
      </c>
    </row>
    <row r="160" spans="1:6" ht="19.5" customHeight="1">
      <c r="A160" s="113"/>
      <c r="B160" s="116"/>
      <c r="C160" s="117" t="s">
        <v>1346</v>
      </c>
      <c r="D160" s="116">
        <v>3</v>
      </c>
      <c r="E160" s="130"/>
      <c r="F160" s="130">
        <v>2</v>
      </c>
    </row>
    <row r="161" spans="1:6" ht="19.5" customHeight="1">
      <c r="A161" s="113"/>
      <c r="B161" s="116"/>
      <c r="C161" s="117" t="s">
        <v>1347</v>
      </c>
      <c r="D161" s="116">
        <v>9</v>
      </c>
      <c r="E161" s="130"/>
      <c r="F161" s="130"/>
    </row>
    <row r="162" spans="1:6" ht="19.5" customHeight="1">
      <c r="A162" s="113"/>
      <c r="B162" s="116"/>
      <c r="C162" s="117" t="s">
        <v>1348</v>
      </c>
      <c r="D162" s="116"/>
      <c r="E162" s="130"/>
      <c r="F162" s="130"/>
    </row>
    <row r="163" spans="1:6" ht="19.5" customHeight="1">
      <c r="A163" s="113"/>
      <c r="B163" s="116"/>
      <c r="C163" s="117" t="s">
        <v>1349</v>
      </c>
      <c r="D163" s="116"/>
      <c r="E163" s="130"/>
      <c r="F163" s="130"/>
    </row>
    <row r="164" spans="1:6" ht="19.5" customHeight="1">
      <c r="A164" s="113"/>
      <c r="B164" s="116"/>
      <c r="C164" s="117" t="s">
        <v>1350</v>
      </c>
      <c r="D164" s="116"/>
      <c r="E164" s="130"/>
      <c r="F164" s="130"/>
    </row>
    <row r="165" spans="1:6" ht="19.5" customHeight="1">
      <c r="A165" s="113"/>
      <c r="B165" s="116"/>
      <c r="C165" s="117" t="s">
        <v>1351</v>
      </c>
      <c r="D165" s="116"/>
      <c r="E165" s="130"/>
      <c r="F165" s="130"/>
    </row>
    <row r="166" spans="1:6" ht="19.5" customHeight="1">
      <c r="A166" s="113"/>
      <c r="B166" s="116"/>
      <c r="C166" s="117" t="s">
        <v>1352</v>
      </c>
      <c r="D166" s="116"/>
      <c r="E166" s="130"/>
      <c r="F166" s="130"/>
    </row>
    <row r="167" spans="1:6" ht="19.5" customHeight="1">
      <c r="A167" s="113"/>
      <c r="B167" s="116"/>
      <c r="C167" s="117" t="s">
        <v>1353</v>
      </c>
      <c r="D167" s="116"/>
      <c r="E167" s="130"/>
      <c r="F167" s="130"/>
    </row>
    <row r="168" spans="1:6" ht="19.5" customHeight="1">
      <c r="A168" s="113"/>
      <c r="B168" s="116"/>
      <c r="C168" s="117" t="s">
        <v>1354</v>
      </c>
      <c r="D168" s="116"/>
      <c r="E168" s="130"/>
      <c r="F168" s="130"/>
    </row>
    <row r="169" spans="1:6" ht="19.5" customHeight="1">
      <c r="A169" s="113"/>
      <c r="B169" s="116"/>
      <c r="C169" s="115" t="s">
        <v>1212</v>
      </c>
      <c r="D169" s="116"/>
      <c r="E169" s="130"/>
      <c r="F169" s="130"/>
    </row>
    <row r="170" spans="1:6" ht="19.5" customHeight="1">
      <c r="A170" s="113"/>
      <c r="B170" s="116"/>
      <c r="C170" s="115" t="s">
        <v>1213</v>
      </c>
      <c r="D170" s="116"/>
      <c r="E170" s="130"/>
      <c r="F170" s="130"/>
    </row>
    <row r="171" spans="1:6" ht="19.5" customHeight="1">
      <c r="A171" s="113"/>
      <c r="B171" s="116"/>
      <c r="C171" s="115"/>
      <c r="D171" s="116"/>
      <c r="E171" s="130"/>
      <c r="F171" s="130"/>
    </row>
    <row r="172" spans="1:6" ht="19.5" customHeight="1">
      <c r="A172" s="113"/>
      <c r="B172" s="116"/>
      <c r="C172" s="117"/>
      <c r="D172" s="116"/>
      <c r="E172" s="130"/>
      <c r="F172" s="130"/>
    </row>
    <row r="173" spans="1:6" ht="19.5" customHeight="1">
      <c r="A173" s="113"/>
      <c r="B173" s="116"/>
      <c r="C173" s="117"/>
      <c r="D173" s="116"/>
      <c r="E173" s="130"/>
      <c r="F173" s="130"/>
    </row>
    <row r="174" spans="1:6" ht="19.5" customHeight="1">
      <c r="A174" s="118" t="s">
        <v>33</v>
      </c>
      <c r="B174" s="114">
        <f>SUM(B6:B14,B20:B21,B24:B26,B30:B35)</f>
        <v>334</v>
      </c>
      <c r="C174" s="118" t="s">
        <v>1056</v>
      </c>
      <c r="D174" s="114">
        <f aca="true" t="shared" si="15" ref="D174:F174">SUM(D6,D12,D21,D28,D60,D82,D123,D140,D147,D169:D170)</f>
        <v>886</v>
      </c>
      <c r="E174" s="114">
        <f t="shared" si="15"/>
        <v>334</v>
      </c>
      <c r="F174" s="114">
        <f t="shared" si="15"/>
        <v>531</v>
      </c>
    </row>
    <row r="175" spans="1:6" ht="19.5" customHeight="1">
      <c r="A175" s="136" t="s">
        <v>1063</v>
      </c>
      <c r="B175" s="114">
        <f>SUM(B176,B179,B180,B182,B183)</f>
        <v>552</v>
      </c>
      <c r="C175" s="136" t="s">
        <v>1064</v>
      </c>
      <c r="D175" s="114">
        <f>SUM(D176,D179:D182)</f>
        <v>0</v>
      </c>
      <c r="E175" s="130"/>
      <c r="F175" s="130"/>
    </row>
    <row r="176" spans="1:6" ht="19.5" customHeight="1">
      <c r="A176" s="116" t="s">
        <v>1214</v>
      </c>
      <c r="B176" s="114">
        <f>SUM(B177:B178)</f>
        <v>21</v>
      </c>
      <c r="C176" s="116" t="s">
        <v>1215</v>
      </c>
      <c r="D176" s="114">
        <f>SUM(D177:D178)</f>
        <v>0</v>
      </c>
      <c r="E176" s="130"/>
      <c r="F176" s="130"/>
    </row>
    <row r="177" spans="1:6" ht="19.5" customHeight="1">
      <c r="A177" s="116" t="s">
        <v>1216</v>
      </c>
      <c r="B177" s="137">
        <v>21</v>
      </c>
      <c r="C177" s="116" t="s">
        <v>1217</v>
      </c>
      <c r="D177" s="116"/>
      <c r="E177" s="130"/>
      <c r="F177" s="130"/>
    </row>
    <row r="178" spans="1:6" ht="19.5" customHeight="1">
      <c r="A178" s="116" t="s">
        <v>1218</v>
      </c>
      <c r="B178" s="130"/>
      <c r="C178" s="116" t="s">
        <v>1219</v>
      </c>
      <c r="D178" s="116"/>
      <c r="E178" s="130"/>
      <c r="F178" s="130"/>
    </row>
    <row r="179" spans="1:6" ht="19.5" customHeight="1">
      <c r="A179" s="116" t="s">
        <v>1112</v>
      </c>
      <c r="B179" s="130">
        <v>531</v>
      </c>
      <c r="C179" s="116" t="s">
        <v>1220</v>
      </c>
      <c r="D179" s="116"/>
      <c r="E179" s="130"/>
      <c r="F179" s="130"/>
    </row>
    <row r="180" spans="1:6" ht="19.5" customHeight="1">
      <c r="A180" s="116" t="s">
        <v>1114</v>
      </c>
      <c r="B180" s="130"/>
      <c r="C180" s="116" t="s">
        <v>1221</v>
      </c>
      <c r="D180" s="116"/>
      <c r="E180" s="130"/>
      <c r="F180" s="130"/>
    </row>
    <row r="181" spans="1:6" ht="19.5" customHeight="1">
      <c r="A181" s="116" t="s">
        <v>1222</v>
      </c>
      <c r="B181" s="130"/>
      <c r="C181" s="138" t="s">
        <v>1223</v>
      </c>
      <c r="D181" s="116"/>
      <c r="E181" s="130"/>
      <c r="F181" s="130"/>
    </row>
    <row r="182" spans="1:6" ht="19.5" customHeight="1">
      <c r="A182" s="138" t="s">
        <v>1224</v>
      </c>
      <c r="B182" s="130"/>
      <c r="C182" s="138" t="s">
        <v>1225</v>
      </c>
      <c r="D182" s="116"/>
      <c r="E182" s="130"/>
      <c r="F182" s="130"/>
    </row>
    <row r="183" spans="1:6" ht="19.5" customHeight="1">
      <c r="A183" s="138" t="s">
        <v>1226</v>
      </c>
      <c r="B183" s="130"/>
      <c r="C183" s="138"/>
      <c r="D183" s="116"/>
      <c r="E183" s="130"/>
      <c r="F183" s="130"/>
    </row>
    <row r="184" spans="1:6" ht="19.5" customHeight="1">
      <c r="A184" s="138"/>
      <c r="B184" s="130"/>
      <c r="C184" s="138"/>
      <c r="D184" s="116"/>
      <c r="E184" s="130"/>
      <c r="F184" s="130"/>
    </row>
    <row r="185" spans="1:6" ht="19.5" customHeight="1">
      <c r="A185" s="138"/>
      <c r="B185" s="130"/>
      <c r="C185" s="138"/>
      <c r="D185" s="116"/>
      <c r="E185" s="130"/>
      <c r="F185" s="130"/>
    </row>
    <row r="186" spans="1:6" ht="19.5" customHeight="1">
      <c r="A186" s="138"/>
      <c r="B186" s="130"/>
      <c r="C186" s="138"/>
      <c r="D186" s="116"/>
      <c r="E186" s="130"/>
      <c r="F186" s="130"/>
    </row>
    <row r="187" spans="1:6" ht="19.5" customHeight="1">
      <c r="A187" s="118" t="s">
        <v>1129</v>
      </c>
      <c r="B187" s="139">
        <f aca="true" t="shared" si="16" ref="B187:F187">SUM(B174:B175)</f>
        <v>886</v>
      </c>
      <c r="C187" s="118" t="s">
        <v>1130</v>
      </c>
      <c r="D187" s="114">
        <f t="shared" si="16"/>
        <v>886</v>
      </c>
      <c r="E187" s="114">
        <f t="shared" si="16"/>
        <v>334</v>
      </c>
      <c r="F187" s="114">
        <f t="shared" si="16"/>
        <v>531</v>
      </c>
    </row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5.7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D30" sqref="D30"/>
    </sheetView>
  </sheetViews>
  <sheetFormatPr defaultColWidth="12" defaultRowHeight="11.25"/>
  <cols>
    <col min="1" max="1" width="73.5" style="80" customWidth="1"/>
    <col min="2" max="2" width="34.33203125" style="80" customWidth="1"/>
    <col min="3" max="3" width="46.5" style="80" customWidth="1"/>
    <col min="4" max="4" width="12" style="119" customWidth="1"/>
    <col min="5" max="16384" width="12" style="80" customWidth="1"/>
  </cols>
  <sheetData>
    <row r="1" spans="1:2" ht="14.25">
      <c r="A1" s="102"/>
      <c r="B1" s="102"/>
    </row>
    <row r="2" spans="1:3" ht="20.25">
      <c r="A2" s="103" t="s">
        <v>1355</v>
      </c>
      <c r="B2" s="103"/>
      <c r="C2" s="103"/>
    </row>
    <row r="3" spans="1:3" ht="14.25">
      <c r="A3" s="119" t="s">
        <v>32</v>
      </c>
      <c r="B3" s="119"/>
      <c r="C3" s="120" t="s">
        <v>1</v>
      </c>
    </row>
    <row r="4" spans="1:3" ht="45.75" customHeight="1">
      <c r="A4" s="121"/>
      <c r="B4" s="122" t="s">
        <v>3</v>
      </c>
      <c r="C4" s="122" t="s">
        <v>4</v>
      </c>
    </row>
    <row r="5" spans="1:3" ht="19.5" customHeight="1">
      <c r="A5" s="113" t="s">
        <v>1155</v>
      </c>
      <c r="B5" s="123"/>
      <c r="C5" s="123"/>
    </row>
    <row r="6" spans="1:3" ht="19.5" customHeight="1">
      <c r="A6" s="113" t="s">
        <v>1157</v>
      </c>
      <c r="B6" s="123"/>
      <c r="C6" s="123"/>
    </row>
    <row r="7" spans="1:3" ht="19.5" customHeight="1">
      <c r="A7" s="113" t="s">
        <v>1159</v>
      </c>
      <c r="B7" s="123"/>
      <c r="C7" s="123"/>
    </row>
    <row r="8" spans="1:3" ht="19.5" customHeight="1">
      <c r="A8" s="113" t="s">
        <v>1161</v>
      </c>
      <c r="B8" s="123"/>
      <c r="C8" s="123"/>
    </row>
    <row r="9" spans="1:3" ht="19.5" customHeight="1">
      <c r="A9" s="113" t="s">
        <v>1163</v>
      </c>
      <c r="B9" s="123"/>
      <c r="C9" s="123"/>
    </row>
    <row r="10" spans="1:3" ht="19.5" customHeight="1">
      <c r="A10" s="113" t="s">
        <v>1165</v>
      </c>
      <c r="B10" s="123"/>
      <c r="C10" s="123"/>
    </row>
    <row r="11" spans="1:3" ht="19.5" customHeight="1">
      <c r="A11" s="113" t="s">
        <v>1167</v>
      </c>
      <c r="B11" s="123"/>
      <c r="C11" s="123"/>
    </row>
    <row r="12" spans="1:3" ht="19.5" customHeight="1">
      <c r="A12" s="113" t="s">
        <v>1169</v>
      </c>
      <c r="B12" s="123"/>
      <c r="C12" s="123"/>
    </row>
    <row r="13" spans="1:3" ht="19.5" customHeight="1">
      <c r="A13" s="113" t="s">
        <v>1171</v>
      </c>
      <c r="B13" s="123"/>
      <c r="C13" s="123"/>
    </row>
    <row r="14" spans="1:3" ht="19.5" customHeight="1">
      <c r="A14" s="113" t="s">
        <v>1173</v>
      </c>
      <c r="B14" s="123"/>
      <c r="C14" s="123"/>
    </row>
    <row r="15" spans="1:3" ht="19.5" customHeight="1">
      <c r="A15" s="113" t="s">
        <v>1175</v>
      </c>
      <c r="B15" s="123"/>
      <c r="C15" s="123"/>
    </row>
    <row r="16" spans="1:3" ht="19.5" customHeight="1">
      <c r="A16" s="113" t="s">
        <v>1177</v>
      </c>
      <c r="B16" s="123"/>
      <c r="C16" s="123"/>
    </row>
    <row r="17" spans="1:3" ht="19.5" customHeight="1">
      <c r="A17" s="113" t="s">
        <v>1179</v>
      </c>
      <c r="B17" s="123"/>
      <c r="C17" s="123"/>
    </row>
    <row r="18" spans="1:3" ht="19.5" customHeight="1">
      <c r="A18" s="113" t="s">
        <v>1181</v>
      </c>
      <c r="B18" s="123"/>
      <c r="C18" s="123"/>
    </row>
    <row r="19" spans="1:3" ht="19.5" customHeight="1">
      <c r="A19" s="113" t="s">
        <v>1183</v>
      </c>
      <c r="B19" s="123"/>
      <c r="C19" s="123"/>
    </row>
    <row r="20" spans="1:3" ht="19.5" customHeight="1">
      <c r="A20" s="113" t="s">
        <v>1185</v>
      </c>
      <c r="B20" s="123"/>
      <c r="C20" s="123"/>
    </row>
    <row r="21" spans="1:3" ht="19.5" customHeight="1">
      <c r="A21" s="113" t="s">
        <v>1187</v>
      </c>
      <c r="B21" s="123"/>
      <c r="C21" s="123"/>
    </row>
    <row r="22" spans="1:3" ht="19.5" customHeight="1">
      <c r="A22" s="113" t="s">
        <v>1189</v>
      </c>
      <c r="B22" s="123"/>
      <c r="C22" s="123"/>
    </row>
    <row r="23" spans="1:3" ht="19.5" customHeight="1">
      <c r="A23" s="113" t="s">
        <v>1191</v>
      </c>
      <c r="B23" s="123"/>
      <c r="C23" s="123"/>
    </row>
    <row r="24" spans="1:3" ht="19.5" customHeight="1">
      <c r="A24" s="113" t="s">
        <v>1193</v>
      </c>
      <c r="B24" s="123"/>
      <c r="C24" s="123"/>
    </row>
    <row r="25" spans="1:3" ht="19.5" customHeight="1">
      <c r="A25" s="123"/>
      <c r="B25" s="123"/>
      <c r="C25" s="123"/>
    </row>
    <row r="26" spans="1:3" ht="19.5" customHeight="1">
      <c r="A26" s="118" t="s">
        <v>33</v>
      </c>
      <c r="B26" s="124"/>
      <c r="C26" s="123"/>
    </row>
  </sheetData>
  <sheetProtection/>
  <mergeCells count="1">
    <mergeCell ref="A2:C2"/>
  </mergeCells>
  <printOptions horizontalCentered="1" verticalCentered="1"/>
  <pageMargins left="0.71" right="0.71" top="0.16" bottom="0.3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zoomScale="85" zoomScaleNormal="85" workbookViewId="0" topLeftCell="A1">
      <pane xSplit="1" ySplit="5" topLeftCell="B9" activePane="bottomRight" state="frozen"/>
      <selection pane="bottomRight" activeCell="E33" sqref="E33"/>
    </sheetView>
  </sheetViews>
  <sheetFormatPr defaultColWidth="12" defaultRowHeight="11.25"/>
  <cols>
    <col min="1" max="1" width="72.33203125" style="80" customWidth="1"/>
    <col min="2" max="2" width="17.16015625" style="80" customWidth="1"/>
    <col min="3" max="3" width="25.66015625" style="80" customWidth="1"/>
    <col min="4" max="4" width="25.16015625" style="80" customWidth="1"/>
    <col min="5" max="5" width="17.83203125" style="80" customWidth="1"/>
    <col min="6" max="6" width="18" style="80" customWidth="1"/>
    <col min="7" max="7" width="19.5" style="80" customWidth="1"/>
    <col min="8" max="8" width="18.16015625" style="80" customWidth="1"/>
    <col min="9" max="16384" width="12" style="80" customWidth="1"/>
  </cols>
  <sheetData>
    <row r="1" ht="14.25">
      <c r="A1" s="102"/>
    </row>
    <row r="2" spans="1:8" ht="20.25">
      <c r="A2" s="103" t="s">
        <v>1356</v>
      </c>
      <c r="B2" s="103"/>
      <c r="C2" s="103"/>
      <c r="D2" s="103"/>
      <c r="E2" s="103"/>
      <c r="F2" s="103"/>
      <c r="G2" s="103"/>
      <c r="H2" s="103"/>
    </row>
    <row r="3" spans="1:8" ht="18" customHeight="1">
      <c r="A3" s="102"/>
      <c r="H3" s="104" t="s">
        <v>1</v>
      </c>
    </row>
    <row r="4" spans="1:8" s="101" customFormat="1" ht="31.5" customHeight="1">
      <c r="A4" s="105" t="s">
        <v>35</v>
      </c>
      <c r="B4" s="105" t="s">
        <v>1132</v>
      </c>
      <c r="C4" s="105" t="s">
        <v>1357</v>
      </c>
      <c r="D4" s="106" t="s">
        <v>1358</v>
      </c>
      <c r="E4" s="106" t="s">
        <v>1359</v>
      </c>
      <c r="F4" s="107" t="s">
        <v>1136</v>
      </c>
      <c r="G4" s="105" t="s">
        <v>1137</v>
      </c>
      <c r="H4" s="105" t="s">
        <v>1138</v>
      </c>
    </row>
    <row r="5" spans="1:8" s="101" customFormat="1" ht="27.75" customHeight="1">
      <c r="A5" s="108"/>
      <c r="B5" s="108"/>
      <c r="C5" s="109"/>
      <c r="D5" s="110"/>
      <c r="E5" s="111"/>
      <c r="F5" s="112"/>
      <c r="G5" s="108"/>
      <c r="H5" s="108"/>
    </row>
    <row r="6" spans="1:8" ht="18" customHeight="1">
      <c r="A6" s="113" t="s">
        <v>1156</v>
      </c>
      <c r="B6" s="114">
        <f aca="true" t="shared" si="0" ref="B6:B46">SUM(C6:H6)</f>
        <v>0</v>
      </c>
      <c r="C6" s="114">
        <f aca="true" t="shared" si="1" ref="C6:H6">C7</f>
        <v>0</v>
      </c>
      <c r="D6" s="114">
        <f t="shared" si="1"/>
        <v>0</v>
      </c>
      <c r="E6" s="114">
        <f t="shared" si="1"/>
        <v>0</v>
      </c>
      <c r="F6" s="114">
        <f t="shared" si="1"/>
        <v>0</v>
      </c>
      <c r="G6" s="114">
        <f t="shared" si="1"/>
        <v>0</v>
      </c>
      <c r="H6" s="114">
        <f t="shared" si="1"/>
        <v>0</v>
      </c>
    </row>
    <row r="7" spans="1:8" ht="18" customHeight="1">
      <c r="A7" s="115" t="s">
        <v>1158</v>
      </c>
      <c r="B7" s="114">
        <f t="shared" si="0"/>
        <v>0</v>
      </c>
      <c r="C7" s="116"/>
      <c r="D7" s="116"/>
      <c r="E7" s="116"/>
      <c r="F7" s="116"/>
      <c r="G7" s="116"/>
      <c r="H7" s="116"/>
    </row>
    <row r="8" spans="1:8" ht="18" customHeight="1">
      <c r="A8" s="113" t="s">
        <v>1160</v>
      </c>
      <c r="B8" s="114">
        <f t="shared" si="0"/>
        <v>1</v>
      </c>
      <c r="C8" s="114">
        <f aca="true" t="shared" si="2" ref="C8:H8">SUM(C9:C10)</f>
        <v>0</v>
      </c>
      <c r="D8" s="114">
        <f t="shared" si="2"/>
        <v>0</v>
      </c>
      <c r="E8" s="114">
        <f t="shared" si="2"/>
        <v>1</v>
      </c>
      <c r="F8" s="114">
        <f t="shared" si="2"/>
        <v>0</v>
      </c>
      <c r="G8" s="114">
        <f t="shared" si="2"/>
        <v>0</v>
      </c>
      <c r="H8" s="114">
        <f t="shared" si="2"/>
        <v>0</v>
      </c>
    </row>
    <row r="9" spans="1:8" ht="18" customHeight="1">
      <c r="A9" s="115" t="s">
        <v>1162</v>
      </c>
      <c r="B9" s="114">
        <f t="shared" si="0"/>
        <v>1</v>
      </c>
      <c r="C9" s="116"/>
      <c r="D9" s="116"/>
      <c r="E9" s="116">
        <v>1</v>
      </c>
      <c r="F9" s="116"/>
      <c r="G9" s="116"/>
      <c r="H9" s="116"/>
    </row>
    <row r="10" spans="1:8" ht="18" customHeight="1">
      <c r="A10" s="115" t="s">
        <v>1164</v>
      </c>
      <c r="B10" s="114">
        <f t="shared" si="0"/>
        <v>0</v>
      </c>
      <c r="C10" s="116"/>
      <c r="D10" s="116"/>
      <c r="E10" s="116"/>
      <c r="F10" s="116"/>
      <c r="G10" s="116"/>
      <c r="H10" s="116"/>
    </row>
    <row r="11" spans="1:8" ht="18" customHeight="1">
      <c r="A11" s="113" t="s">
        <v>1166</v>
      </c>
      <c r="B11" s="114">
        <f t="shared" si="0"/>
        <v>0</v>
      </c>
      <c r="C11" s="114">
        <f aca="true" t="shared" si="3" ref="C11:H11">SUM(C12:C13)</f>
        <v>0</v>
      </c>
      <c r="D11" s="114">
        <f t="shared" si="3"/>
        <v>0</v>
      </c>
      <c r="E11" s="114">
        <f t="shared" si="3"/>
        <v>0</v>
      </c>
      <c r="F11" s="114">
        <f t="shared" si="3"/>
        <v>0</v>
      </c>
      <c r="G11" s="114">
        <f t="shared" si="3"/>
        <v>0</v>
      </c>
      <c r="H11" s="114">
        <f t="shared" si="3"/>
        <v>0</v>
      </c>
    </row>
    <row r="12" spans="1:8" ht="18" customHeight="1">
      <c r="A12" s="113" t="s">
        <v>1168</v>
      </c>
      <c r="B12" s="114">
        <f t="shared" si="0"/>
        <v>0</v>
      </c>
      <c r="C12" s="116"/>
      <c r="D12" s="116"/>
      <c r="E12" s="116"/>
      <c r="F12" s="116"/>
      <c r="G12" s="116"/>
      <c r="H12" s="116"/>
    </row>
    <row r="13" spans="1:8" ht="18" customHeight="1">
      <c r="A13" s="113" t="s">
        <v>1170</v>
      </c>
      <c r="B13" s="114">
        <f t="shared" si="0"/>
        <v>0</v>
      </c>
      <c r="C13" s="116"/>
      <c r="D13" s="116"/>
      <c r="E13" s="116"/>
      <c r="F13" s="116"/>
      <c r="G13" s="116"/>
      <c r="H13" s="116"/>
    </row>
    <row r="14" spans="1:8" ht="18" customHeight="1">
      <c r="A14" s="113" t="s">
        <v>1172</v>
      </c>
      <c r="B14" s="114">
        <f t="shared" si="0"/>
        <v>673</v>
      </c>
      <c r="C14" s="114">
        <f aca="true" t="shared" si="4" ref="C14:H14">SUM(C15:C20)</f>
        <v>304</v>
      </c>
      <c r="D14" s="114">
        <f t="shared" si="4"/>
        <v>0</v>
      </c>
      <c r="E14" s="114">
        <f t="shared" si="4"/>
        <v>369</v>
      </c>
      <c r="F14" s="114">
        <f t="shared" si="4"/>
        <v>0</v>
      </c>
      <c r="G14" s="114">
        <f t="shared" si="4"/>
        <v>0</v>
      </c>
      <c r="H14" s="114">
        <f t="shared" si="4"/>
        <v>0</v>
      </c>
    </row>
    <row r="15" spans="1:8" ht="18" customHeight="1">
      <c r="A15" s="113" t="s">
        <v>1174</v>
      </c>
      <c r="B15" s="114">
        <f t="shared" si="0"/>
        <v>389</v>
      </c>
      <c r="C15" s="116">
        <v>200</v>
      </c>
      <c r="D15" s="116"/>
      <c r="E15" s="116">
        <v>189</v>
      </c>
      <c r="F15" s="116"/>
      <c r="G15" s="116"/>
      <c r="H15" s="116"/>
    </row>
    <row r="16" spans="1:8" ht="18" customHeight="1">
      <c r="A16" s="113" t="s">
        <v>1176</v>
      </c>
      <c r="B16" s="114">
        <f t="shared" si="0"/>
        <v>0</v>
      </c>
      <c r="C16" s="116"/>
      <c r="D16" s="116"/>
      <c r="E16" s="116"/>
      <c r="F16" s="116"/>
      <c r="G16" s="116"/>
      <c r="H16" s="116"/>
    </row>
    <row r="17" spans="1:8" ht="18" customHeight="1">
      <c r="A17" s="113" t="s">
        <v>1178</v>
      </c>
      <c r="B17" s="114">
        <f t="shared" si="0"/>
        <v>8</v>
      </c>
      <c r="C17" s="116"/>
      <c r="D17" s="116"/>
      <c r="E17" s="116">
        <v>8</v>
      </c>
      <c r="F17" s="116"/>
      <c r="G17" s="116"/>
      <c r="H17" s="116"/>
    </row>
    <row r="18" spans="1:8" ht="18" customHeight="1">
      <c r="A18" s="113" t="s">
        <v>1180</v>
      </c>
      <c r="B18" s="114">
        <f t="shared" si="0"/>
        <v>38</v>
      </c>
      <c r="C18" s="116"/>
      <c r="D18" s="116"/>
      <c r="E18" s="116">
        <v>38</v>
      </c>
      <c r="F18" s="116"/>
      <c r="G18" s="116"/>
      <c r="H18" s="116"/>
    </row>
    <row r="19" spans="1:8" ht="18" customHeight="1">
      <c r="A19" s="113" t="s">
        <v>1182</v>
      </c>
      <c r="B19" s="114">
        <f t="shared" si="0"/>
        <v>153</v>
      </c>
      <c r="C19" s="116">
        <v>65</v>
      </c>
      <c r="D19" s="116"/>
      <c r="E19" s="116">
        <v>88</v>
      </c>
      <c r="F19" s="116"/>
      <c r="G19" s="116"/>
      <c r="H19" s="116"/>
    </row>
    <row r="20" spans="1:8" ht="18" customHeight="1">
      <c r="A20" s="113" t="s">
        <v>1184</v>
      </c>
      <c r="B20" s="114">
        <f t="shared" si="0"/>
        <v>85</v>
      </c>
      <c r="C20" s="116">
        <v>39</v>
      </c>
      <c r="D20" s="116"/>
      <c r="E20" s="116">
        <v>46</v>
      </c>
      <c r="F20" s="116"/>
      <c r="G20" s="116"/>
      <c r="H20" s="116"/>
    </row>
    <row r="21" spans="1:8" ht="18" customHeight="1">
      <c r="A21" s="113" t="s">
        <v>1186</v>
      </c>
      <c r="B21" s="114">
        <f t="shared" si="0"/>
        <v>0</v>
      </c>
      <c r="C21" s="114">
        <f aca="true" t="shared" si="5" ref="C21:H21">SUM(C22:C25)</f>
        <v>0</v>
      </c>
      <c r="D21" s="114">
        <f t="shared" si="5"/>
        <v>0</v>
      </c>
      <c r="E21" s="114">
        <f t="shared" si="5"/>
        <v>0</v>
      </c>
      <c r="F21" s="114">
        <f t="shared" si="5"/>
        <v>0</v>
      </c>
      <c r="G21" s="114">
        <f t="shared" si="5"/>
        <v>0</v>
      </c>
      <c r="H21" s="114">
        <f t="shared" si="5"/>
        <v>0</v>
      </c>
    </row>
    <row r="22" spans="1:8" ht="18" customHeight="1">
      <c r="A22" s="117" t="s">
        <v>1188</v>
      </c>
      <c r="B22" s="114">
        <f t="shared" si="0"/>
        <v>0</v>
      </c>
      <c r="C22" s="116"/>
      <c r="D22" s="116"/>
      <c r="E22" s="116"/>
      <c r="F22" s="116"/>
      <c r="G22" s="116"/>
      <c r="H22" s="116"/>
    </row>
    <row r="23" spans="1:8" ht="18" customHeight="1">
      <c r="A23" s="117" t="s">
        <v>1276</v>
      </c>
      <c r="B23" s="114">
        <f t="shared" si="0"/>
        <v>0</v>
      </c>
      <c r="C23" s="116"/>
      <c r="D23" s="116"/>
      <c r="E23" s="116"/>
      <c r="F23" s="116"/>
      <c r="G23" s="116"/>
      <c r="H23" s="116"/>
    </row>
    <row r="24" spans="1:8" ht="18" customHeight="1">
      <c r="A24" s="117" t="s">
        <v>1192</v>
      </c>
      <c r="B24" s="114">
        <f t="shared" si="0"/>
        <v>0</v>
      </c>
      <c r="C24" s="116"/>
      <c r="D24" s="116"/>
      <c r="E24" s="116"/>
      <c r="F24" s="116"/>
      <c r="G24" s="116"/>
      <c r="H24" s="116"/>
    </row>
    <row r="25" spans="1:8" ht="18" customHeight="1">
      <c r="A25" s="117" t="s">
        <v>1194</v>
      </c>
      <c r="B25" s="114">
        <f t="shared" si="0"/>
        <v>0</v>
      </c>
      <c r="C25" s="116"/>
      <c r="D25" s="116"/>
      <c r="E25" s="116"/>
      <c r="F25" s="116"/>
      <c r="G25" s="116"/>
      <c r="H25" s="116"/>
    </row>
    <row r="26" spans="1:8" ht="18" customHeight="1">
      <c r="A26" s="115" t="s">
        <v>1195</v>
      </c>
      <c r="B26" s="114">
        <f t="shared" si="0"/>
        <v>0</v>
      </c>
      <c r="C26" s="114">
        <f aca="true" t="shared" si="6" ref="C26:H26">SUM(C27:C32)</f>
        <v>0</v>
      </c>
      <c r="D26" s="114">
        <f t="shared" si="6"/>
        <v>0</v>
      </c>
      <c r="E26" s="114">
        <f t="shared" si="6"/>
        <v>0</v>
      </c>
      <c r="F26" s="114">
        <f t="shared" si="6"/>
        <v>0</v>
      </c>
      <c r="G26" s="114">
        <f t="shared" si="6"/>
        <v>0</v>
      </c>
      <c r="H26" s="114">
        <f t="shared" si="6"/>
        <v>0</v>
      </c>
    </row>
    <row r="27" spans="1:8" ht="18" customHeight="1">
      <c r="A27" s="117" t="s">
        <v>1196</v>
      </c>
      <c r="B27" s="114">
        <f t="shared" si="0"/>
        <v>0</v>
      </c>
      <c r="C27" s="116"/>
      <c r="D27" s="116"/>
      <c r="E27" s="116"/>
      <c r="F27" s="116"/>
      <c r="G27" s="116"/>
      <c r="H27" s="116"/>
    </row>
    <row r="28" spans="1:8" ht="18" customHeight="1">
      <c r="A28" s="117" t="s">
        <v>1197</v>
      </c>
      <c r="B28" s="114">
        <f t="shared" si="0"/>
        <v>0</v>
      </c>
      <c r="C28" s="116"/>
      <c r="D28" s="116"/>
      <c r="E28" s="116"/>
      <c r="F28" s="116"/>
      <c r="G28" s="116"/>
      <c r="H28" s="116"/>
    </row>
    <row r="29" spans="1:8" ht="18" customHeight="1">
      <c r="A29" s="117" t="s">
        <v>1198</v>
      </c>
      <c r="B29" s="114">
        <f t="shared" si="0"/>
        <v>0</v>
      </c>
      <c r="C29" s="116"/>
      <c r="D29" s="116"/>
      <c r="E29" s="116"/>
      <c r="F29" s="116"/>
      <c r="G29" s="116"/>
      <c r="H29" s="116"/>
    </row>
    <row r="30" spans="1:8" ht="18" customHeight="1">
      <c r="A30" s="117" t="s">
        <v>1199</v>
      </c>
      <c r="B30" s="114">
        <f t="shared" si="0"/>
        <v>0</v>
      </c>
      <c r="C30" s="116"/>
      <c r="D30" s="116"/>
      <c r="E30" s="116"/>
      <c r="F30" s="116"/>
      <c r="G30" s="116"/>
      <c r="H30" s="116"/>
    </row>
    <row r="31" spans="1:8" ht="18" customHeight="1">
      <c r="A31" s="117" t="s">
        <v>1200</v>
      </c>
      <c r="B31" s="114">
        <f t="shared" si="0"/>
        <v>0</v>
      </c>
      <c r="C31" s="116"/>
      <c r="D31" s="116"/>
      <c r="E31" s="116"/>
      <c r="F31" s="116"/>
      <c r="G31" s="116"/>
      <c r="H31" s="116"/>
    </row>
    <row r="32" spans="1:8" ht="18" customHeight="1">
      <c r="A32" s="117" t="s">
        <v>1201</v>
      </c>
      <c r="B32" s="114">
        <f t="shared" si="0"/>
        <v>0</v>
      </c>
      <c r="C32" s="116"/>
      <c r="D32" s="116"/>
      <c r="E32" s="116"/>
      <c r="F32" s="116"/>
      <c r="G32" s="116"/>
      <c r="H32" s="116"/>
    </row>
    <row r="33" spans="1:8" ht="18" customHeight="1">
      <c r="A33" s="115" t="s">
        <v>1202</v>
      </c>
      <c r="B33" s="114">
        <f t="shared" si="0"/>
        <v>30</v>
      </c>
      <c r="C33" s="114">
        <f aca="true" t="shared" si="7" ref="C33:H33">SUM(C34:C36)</f>
        <v>30</v>
      </c>
      <c r="D33" s="114">
        <f t="shared" si="7"/>
        <v>0</v>
      </c>
      <c r="E33" s="114">
        <f t="shared" si="7"/>
        <v>0</v>
      </c>
      <c r="F33" s="114">
        <f t="shared" si="7"/>
        <v>0</v>
      </c>
      <c r="G33" s="114">
        <f t="shared" si="7"/>
        <v>0</v>
      </c>
      <c r="H33" s="114">
        <f t="shared" si="7"/>
        <v>0</v>
      </c>
    </row>
    <row r="34" spans="1:8" ht="18" customHeight="1">
      <c r="A34" s="117" t="s">
        <v>1203</v>
      </c>
      <c r="B34" s="114">
        <f t="shared" si="0"/>
        <v>0</v>
      </c>
      <c r="C34" s="116"/>
      <c r="D34" s="116"/>
      <c r="E34" s="116"/>
      <c r="F34" s="116"/>
      <c r="G34" s="116"/>
      <c r="H34" s="116"/>
    </row>
    <row r="35" spans="1:8" ht="18" customHeight="1">
      <c r="A35" s="117" t="s">
        <v>1204</v>
      </c>
      <c r="B35" s="114">
        <f t="shared" si="0"/>
        <v>30</v>
      </c>
      <c r="C35" s="116">
        <v>30</v>
      </c>
      <c r="D35" s="116"/>
      <c r="E35" s="116"/>
      <c r="F35" s="116"/>
      <c r="G35" s="116"/>
      <c r="H35" s="116"/>
    </row>
    <row r="36" spans="1:8" ht="18" customHeight="1">
      <c r="A36" s="117" t="s">
        <v>1205</v>
      </c>
      <c r="B36" s="114">
        <f t="shared" si="0"/>
        <v>0</v>
      </c>
      <c r="C36" s="114">
        <f aca="true" t="shared" si="8" ref="C36:H36">SUM(C37:C38)</f>
        <v>0</v>
      </c>
      <c r="D36" s="114">
        <f t="shared" si="8"/>
        <v>0</v>
      </c>
      <c r="E36" s="114">
        <f t="shared" si="8"/>
        <v>0</v>
      </c>
      <c r="F36" s="114">
        <f t="shared" si="8"/>
        <v>0</v>
      </c>
      <c r="G36" s="114">
        <f t="shared" si="8"/>
        <v>0</v>
      </c>
      <c r="H36" s="114">
        <f t="shared" si="8"/>
        <v>0</v>
      </c>
    </row>
    <row r="37" spans="1:8" ht="18" customHeight="1">
      <c r="A37" s="117" t="s">
        <v>1330</v>
      </c>
      <c r="B37" s="114">
        <f t="shared" si="0"/>
        <v>0</v>
      </c>
      <c r="C37" s="116"/>
      <c r="D37" s="116"/>
      <c r="E37" s="116"/>
      <c r="F37" s="116"/>
      <c r="G37" s="116"/>
      <c r="H37" s="116"/>
    </row>
    <row r="38" spans="1:8" ht="18" customHeight="1">
      <c r="A38" s="117" t="s">
        <v>1331</v>
      </c>
      <c r="B38" s="114">
        <f t="shared" si="0"/>
        <v>0</v>
      </c>
      <c r="C38" s="116"/>
      <c r="D38" s="116"/>
      <c r="E38" s="116"/>
      <c r="F38" s="116"/>
      <c r="G38" s="116"/>
      <c r="H38" s="116"/>
    </row>
    <row r="39" spans="1:8" ht="18" customHeight="1">
      <c r="A39" s="115" t="s">
        <v>1206</v>
      </c>
      <c r="B39" s="114">
        <f t="shared" si="0"/>
        <v>0</v>
      </c>
      <c r="C39" s="114">
        <f aca="true" t="shared" si="9" ref="C39:H39">C40</f>
        <v>0</v>
      </c>
      <c r="D39" s="114">
        <f t="shared" si="9"/>
        <v>0</v>
      </c>
      <c r="E39" s="114">
        <f t="shared" si="9"/>
        <v>0</v>
      </c>
      <c r="F39" s="114">
        <f t="shared" si="9"/>
        <v>0</v>
      </c>
      <c r="G39" s="114">
        <f t="shared" si="9"/>
        <v>0</v>
      </c>
      <c r="H39" s="114">
        <f t="shared" si="9"/>
        <v>0</v>
      </c>
    </row>
    <row r="40" spans="1:8" ht="18" customHeight="1">
      <c r="A40" s="117" t="s">
        <v>1207</v>
      </c>
      <c r="B40" s="114">
        <f t="shared" si="0"/>
        <v>0</v>
      </c>
      <c r="C40" s="116"/>
      <c r="D40" s="116"/>
      <c r="E40" s="116"/>
      <c r="F40" s="116"/>
      <c r="G40" s="116"/>
      <c r="H40" s="116"/>
    </row>
    <row r="41" spans="1:8" ht="18" customHeight="1">
      <c r="A41" s="115" t="s">
        <v>1208</v>
      </c>
      <c r="B41" s="114">
        <f t="shared" si="0"/>
        <v>182</v>
      </c>
      <c r="C41" s="114">
        <f aca="true" t="shared" si="10" ref="C41:H41">SUM(C42:C44)</f>
        <v>0</v>
      </c>
      <c r="D41" s="114">
        <f t="shared" si="10"/>
        <v>21</v>
      </c>
      <c r="E41" s="114">
        <f t="shared" si="10"/>
        <v>161</v>
      </c>
      <c r="F41" s="114">
        <f t="shared" si="10"/>
        <v>0</v>
      </c>
      <c r="G41" s="114">
        <f t="shared" si="10"/>
        <v>0</v>
      </c>
      <c r="H41" s="114">
        <f t="shared" si="10"/>
        <v>0</v>
      </c>
    </row>
    <row r="42" spans="1:8" ht="18" customHeight="1">
      <c r="A42" s="117" t="s">
        <v>1209</v>
      </c>
      <c r="B42" s="114">
        <f t="shared" si="0"/>
        <v>7</v>
      </c>
      <c r="C42" s="116"/>
      <c r="D42" s="116"/>
      <c r="E42" s="116">
        <v>7</v>
      </c>
      <c r="F42" s="116"/>
      <c r="G42" s="116"/>
      <c r="H42" s="116"/>
    </row>
    <row r="43" spans="1:8" ht="18" customHeight="1">
      <c r="A43" s="117" t="s">
        <v>1210</v>
      </c>
      <c r="B43" s="114">
        <f t="shared" si="0"/>
        <v>0</v>
      </c>
      <c r="C43" s="116"/>
      <c r="D43" s="116"/>
      <c r="E43" s="116"/>
      <c r="F43" s="116"/>
      <c r="G43" s="116"/>
      <c r="H43" s="116"/>
    </row>
    <row r="44" spans="1:8" ht="18" customHeight="1">
      <c r="A44" s="117" t="s">
        <v>1211</v>
      </c>
      <c r="B44" s="114">
        <f t="shared" si="0"/>
        <v>175</v>
      </c>
      <c r="C44" s="116"/>
      <c r="D44" s="116">
        <v>21</v>
      </c>
      <c r="E44" s="116">
        <v>154</v>
      </c>
      <c r="F44" s="116"/>
      <c r="G44" s="116"/>
      <c r="H44" s="116"/>
    </row>
    <row r="45" spans="1:8" ht="18" customHeight="1">
      <c r="A45" s="115" t="s">
        <v>1212</v>
      </c>
      <c r="B45" s="114">
        <f t="shared" si="0"/>
        <v>0</v>
      </c>
      <c r="C45" s="116"/>
      <c r="D45" s="116"/>
      <c r="E45" s="116"/>
      <c r="F45" s="116"/>
      <c r="G45" s="116"/>
      <c r="H45" s="116"/>
    </row>
    <row r="46" spans="1:8" ht="18" customHeight="1">
      <c r="A46" s="115" t="s">
        <v>1213</v>
      </c>
      <c r="B46" s="114">
        <f t="shared" si="0"/>
        <v>0</v>
      </c>
      <c r="C46" s="116"/>
      <c r="D46" s="116"/>
      <c r="E46" s="116"/>
      <c r="F46" s="116"/>
      <c r="G46" s="116"/>
      <c r="H46" s="116"/>
    </row>
    <row r="47" spans="1:8" ht="18" customHeight="1">
      <c r="A47" s="115"/>
      <c r="B47" s="116"/>
      <c r="C47" s="116"/>
      <c r="D47" s="116"/>
      <c r="E47" s="116"/>
      <c r="F47" s="116"/>
      <c r="G47" s="116"/>
      <c r="H47" s="116"/>
    </row>
    <row r="48" spans="1:8" ht="18" customHeight="1">
      <c r="A48" s="115"/>
      <c r="B48" s="116"/>
      <c r="C48" s="116"/>
      <c r="D48" s="116"/>
      <c r="E48" s="116"/>
      <c r="F48" s="116"/>
      <c r="G48" s="116"/>
      <c r="H48" s="116"/>
    </row>
    <row r="49" spans="1:8" ht="18" customHeight="1">
      <c r="A49" s="115"/>
      <c r="B49" s="116"/>
      <c r="C49" s="116"/>
      <c r="D49" s="116"/>
      <c r="E49" s="116"/>
      <c r="F49" s="116"/>
      <c r="G49" s="116"/>
      <c r="H49" s="116"/>
    </row>
    <row r="50" spans="1:8" ht="18" customHeight="1">
      <c r="A50" s="115"/>
      <c r="B50" s="116"/>
      <c r="C50" s="116"/>
      <c r="D50" s="116"/>
      <c r="E50" s="116"/>
      <c r="F50" s="116"/>
      <c r="G50" s="116"/>
      <c r="H50" s="116"/>
    </row>
    <row r="51" spans="1:8" ht="18" customHeight="1">
      <c r="A51" s="115"/>
      <c r="B51" s="116"/>
      <c r="C51" s="116"/>
      <c r="D51" s="116"/>
      <c r="E51" s="116"/>
      <c r="F51" s="116"/>
      <c r="G51" s="116"/>
      <c r="H51" s="116"/>
    </row>
    <row r="52" spans="1:8" ht="18" customHeight="1">
      <c r="A52" s="115"/>
      <c r="B52" s="116"/>
      <c r="C52" s="116"/>
      <c r="D52" s="116"/>
      <c r="E52" s="116"/>
      <c r="F52" s="116"/>
      <c r="G52" s="116"/>
      <c r="H52" s="116"/>
    </row>
    <row r="53" spans="1:8" ht="18" customHeight="1">
      <c r="A53" s="115"/>
      <c r="B53" s="116"/>
      <c r="C53" s="116"/>
      <c r="D53" s="116"/>
      <c r="E53" s="116"/>
      <c r="F53" s="116"/>
      <c r="G53" s="116"/>
      <c r="H53" s="116"/>
    </row>
    <row r="54" spans="1:8" ht="18" customHeight="1">
      <c r="A54" s="115"/>
      <c r="B54" s="116"/>
      <c r="C54" s="116"/>
      <c r="D54" s="116"/>
      <c r="E54" s="116"/>
      <c r="F54" s="116"/>
      <c r="G54" s="116"/>
      <c r="H54" s="116"/>
    </row>
    <row r="55" spans="1:8" ht="18" customHeight="1">
      <c r="A55" s="115"/>
      <c r="B55" s="116"/>
      <c r="C55" s="116"/>
      <c r="D55" s="116"/>
      <c r="E55" s="116"/>
      <c r="F55" s="116"/>
      <c r="G55" s="116"/>
      <c r="H55" s="116"/>
    </row>
    <row r="56" spans="1:8" ht="18" customHeight="1">
      <c r="A56" s="115"/>
      <c r="B56" s="116"/>
      <c r="C56" s="116"/>
      <c r="D56" s="116"/>
      <c r="E56" s="116"/>
      <c r="F56" s="116"/>
      <c r="G56" s="116"/>
      <c r="H56" s="116"/>
    </row>
    <row r="57" spans="1:8" ht="18" customHeight="1">
      <c r="A57" s="115"/>
      <c r="B57" s="116"/>
      <c r="C57" s="116"/>
      <c r="D57" s="116"/>
      <c r="E57" s="116"/>
      <c r="F57" s="116"/>
      <c r="G57" s="116"/>
      <c r="H57" s="116"/>
    </row>
    <row r="58" spans="1:8" ht="18" customHeight="1">
      <c r="A58" s="115"/>
      <c r="B58" s="116"/>
      <c r="C58" s="116"/>
      <c r="D58" s="116"/>
      <c r="E58" s="116"/>
      <c r="F58" s="116"/>
      <c r="G58" s="116"/>
      <c r="H58" s="116"/>
    </row>
    <row r="59" spans="1:8" ht="18" customHeight="1">
      <c r="A59" s="115"/>
      <c r="B59" s="116"/>
      <c r="C59" s="116"/>
      <c r="D59" s="116"/>
      <c r="E59" s="116"/>
      <c r="F59" s="116"/>
      <c r="G59" s="116"/>
      <c r="H59" s="116"/>
    </row>
    <row r="60" spans="1:8" ht="18" customHeight="1">
      <c r="A60" s="118" t="s">
        <v>1056</v>
      </c>
      <c r="B60" s="116">
        <f>SUM(C60:H60)</f>
        <v>886</v>
      </c>
      <c r="C60" s="114">
        <f aca="true" t="shared" si="11" ref="C60:H60">C6+C8+C11+C14+C21+C26+C33+C39+C41+C45+C46</f>
        <v>334</v>
      </c>
      <c r="D60" s="114">
        <f t="shared" si="11"/>
        <v>21</v>
      </c>
      <c r="E60" s="114">
        <f t="shared" si="11"/>
        <v>531</v>
      </c>
      <c r="F60" s="114">
        <f t="shared" si="11"/>
        <v>0</v>
      </c>
      <c r="G60" s="114">
        <f t="shared" si="11"/>
        <v>0</v>
      </c>
      <c r="H60" s="114">
        <f t="shared" si="11"/>
        <v>0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2017-03-14T08:20:08Z</dcterms:created>
  <dcterms:modified xsi:type="dcterms:W3CDTF">2017-04-06T08:12:04Z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